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455" firstSheet="29" activeTab="29"/>
  </bookViews>
  <sheets>
    <sheet name="Budget Summary 2015-2016" sheetId="1" state="hidden" r:id="rId1"/>
    <sheet name="BUTIYE " sheetId="2" state="hidden" r:id="rId2"/>
    <sheet name="HEILU MANYATTA" sheetId="3" state="hidden" r:id="rId3"/>
    <sheet name="GOLBO" sheetId="4" state="hidden" r:id="rId4"/>
    <sheet name="OBBU" sheetId="5" state="hidden" r:id="rId5"/>
    <sheet name="Korr-Ngurunet" sheetId="6" state="hidden" r:id="rId6"/>
    <sheet name="Laisamis" sheetId="7" state="hidden" r:id="rId7"/>
    <sheet name="Loglogo" sheetId="8" state="hidden" r:id="rId8"/>
    <sheet name="Loyangalani" sheetId="9" state="hidden" r:id="rId9"/>
    <sheet name="SOLOLO" sheetId="10" state="hidden" r:id="rId10"/>
    <sheet name="TOWNSHIP" sheetId="11" state="hidden" r:id="rId11"/>
    <sheet name="URAN" sheetId="12" state="hidden" r:id="rId12"/>
    <sheet name="MOYALE SUB COUNTY " sheetId="13" state="hidden" r:id="rId13"/>
    <sheet name="KARGI-SOUTH HORR" sheetId="14" state="hidden" r:id="rId14"/>
    <sheet name="KORR-NGURNIT" sheetId="15" state="hidden" r:id="rId15"/>
    <sheet name="LAISAMI" sheetId="16" state="hidden" r:id="rId16"/>
    <sheet name="LOGLOG" sheetId="17" state="hidden" r:id="rId17"/>
    <sheet name="LOIYANGALANI" sheetId="18" state="hidden" r:id="rId18"/>
    <sheet name="LAISAMIS SUB COUNTY" sheetId="19" state="hidden" r:id="rId19"/>
    <sheet name="DUKANA " sheetId="20" state="hidden" r:id="rId20"/>
    <sheet name="ILLERET" sheetId="21" state="hidden" r:id="rId21"/>
    <sheet name="MAIKONA" sheetId="22" state="hidden" r:id="rId22"/>
    <sheet name="NORTH HORR" sheetId="23" state="hidden" r:id="rId23"/>
    <sheet name="TURBI" sheetId="24" state="hidden" r:id="rId24"/>
    <sheet name="NORTH HORR SUB COUNTY" sheetId="25" state="hidden" r:id="rId25"/>
    <sheet name="KARARE" sheetId="26" state="hidden" r:id="rId26"/>
    <sheet name="MARSABIT CENTRAL" sheetId="27" state="hidden" r:id="rId27"/>
    <sheet name="SAGANTE" sheetId="28" state="hidden" r:id="rId28"/>
    <sheet name="SAKU SUB COUNTY" sheetId="29" state="hidden" r:id="rId29"/>
    <sheet name="Development 2017-2018" sheetId="30" r:id="rId30"/>
    <sheet name="Recurrent 2017-2018" sheetId="31" r:id="rId31"/>
    <sheet name="Sheet13" sheetId="32" state="hidden" r:id="rId32"/>
    <sheet name="Sheet1" sheetId="33" state="hidden" r:id="rId33"/>
    <sheet name="WARDS" sheetId="34" state="hidden" r:id="rId34"/>
    <sheet name="DEPARTMENTA PRIO" sheetId="35" state="hidden" r:id="rId35"/>
    <sheet name="Summary" sheetId="36" r:id="rId36"/>
    <sheet name="Revenue" sheetId="37" r:id="rId37"/>
    <sheet name="Sheet6" sheetId="38" state="hidden" r:id="rId38"/>
    <sheet name="Summary (2)" sheetId="39" state="hidden" r:id="rId39"/>
    <sheet name="Sheet3" sheetId="40" state="hidden" r:id="rId40"/>
    <sheet name="Sheet7" sheetId="41" state="hidden" r:id="rId41"/>
    <sheet name="Sheet2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GoBack" localSheetId="8">'Loyangalani'!$B$22</definedName>
    <definedName name="_xlnm.Print_Area" localSheetId="29">'Development 2017-2018'!$B$1:$G$702</definedName>
    <definedName name="_xlnm.Print_Area" localSheetId="30">'Recurrent 2017-2018'!$A$1:$N$1521</definedName>
  </definedNames>
  <calcPr fullCalcOnLoad="1"/>
</workbook>
</file>

<file path=xl/sharedStrings.xml><?xml version="1.0" encoding="utf-8"?>
<sst xmlns="http://schemas.openxmlformats.org/spreadsheetml/2006/main" count="7229" uniqueCount="2348">
  <si>
    <t>County Health Services</t>
  </si>
  <si>
    <t>Agriculture,Livestock &amp; Fisheries</t>
  </si>
  <si>
    <t>GRAND TOTAL</t>
  </si>
  <si>
    <t>Education,Skills Development,Youth &amp; Sport</t>
  </si>
  <si>
    <t>S/NO.</t>
  </si>
  <si>
    <t>ESTIMATED COST</t>
  </si>
  <si>
    <t>MARSABIT COUNTY PRIORITIZED PROPOSED DEVELOPMENT PROJECT FOR FY 2015/2016</t>
  </si>
  <si>
    <t>WARD</t>
  </si>
  <si>
    <t>DEPARTMENT</t>
  </si>
  <si>
    <t>Sub Total</t>
  </si>
  <si>
    <t>Public works,Roads, Housing  &amp;Transport</t>
  </si>
  <si>
    <t>PROJECT SITE ALLOCATION</t>
  </si>
  <si>
    <t>Water ,Environment &amp;Natural Resources</t>
  </si>
  <si>
    <t>Culture,Tourism &amp; Social services</t>
  </si>
  <si>
    <t xml:space="preserve">MARSABIT COUNTY GOVERNMENT </t>
  </si>
  <si>
    <t>WARDS ALLOCATIONS FOR FY 2015-2016</t>
  </si>
  <si>
    <t>SUB TOATAL</t>
  </si>
  <si>
    <t>LAISAMIS SUB COUNTY</t>
  </si>
  <si>
    <t>KARGI/SOUTH HORR</t>
  </si>
  <si>
    <t>KORR/NGURINET</t>
  </si>
  <si>
    <t xml:space="preserve">LAISAMIS </t>
  </si>
  <si>
    <t>LOGLOGO</t>
  </si>
  <si>
    <t>LOYANGALANI</t>
  </si>
  <si>
    <t xml:space="preserve"> DEVELOPMENT PROJECTS PRIORITY</t>
  </si>
  <si>
    <t>Grand Total</t>
  </si>
  <si>
    <t>Energy,Lands &amp; Urban Development</t>
  </si>
  <si>
    <t>WATER</t>
  </si>
  <si>
    <t>HEALTH</t>
  </si>
  <si>
    <t>AGRICULTURE</t>
  </si>
  <si>
    <t>TRADE</t>
  </si>
  <si>
    <t>EDUCATION</t>
  </si>
  <si>
    <t>LAISAMIS LOCATION</t>
  </si>
  <si>
    <t>TOURISM</t>
  </si>
  <si>
    <t>EDUC, AND SPORTS</t>
  </si>
  <si>
    <t>MERILLE LOCATION</t>
  </si>
  <si>
    <t>AGRICULTURE and LIVESTOCK</t>
  </si>
  <si>
    <t>KOYA LOCATION*</t>
  </si>
  <si>
    <t>LONTOLIO LOCATION</t>
  </si>
  <si>
    <t>CULTURE</t>
  </si>
  <si>
    <t>KORR LOCATION</t>
  </si>
  <si>
    <t>NGURUNIT LOCATION</t>
  </si>
  <si>
    <t>EDUCATION AND SPORTS</t>
  </si>
  <si>
    <t>ILLAUT LOCATION</t>
  </si>
  <si>
    <t>BAALAH LOCATION</t>
  </si>
  <si>
    <t>TOTAL  19M</t>
  </si>
  <si>
    <t xml:space="preserve">         TOTAL 12.8 M</t>
  </si>
  <si>
    <t>TOTAL 12.4M</t>
  </si>
  <si>
    <t xml:space="preserve"> </t>
  </si>
  <si>
    <t>TOTAL  13 M</t>
  </si>
  <si>
    <t>TOTAL 18 M</t>
  </si>
  <si>
    <t>TOTAL 22.8 M</t>
  </si>
  <si>
    <t>TOTAL 16.5M</t>
  </si>
  <si>
    <t>TOTAL 21 M</t>
  </si>
  <si>
    <t>·         3 Million</t>
  </si>
  <si>
    <t>·         1.8 Million</t>
  </si>
  <si>
    <t>·         1.5 Million</t>
  </si>
  <si>
    <t>·         1 Million</t>
  </si>
  <si>
    <t>·         2 Million</t>
  </si>
  <si>
    <t>·         3.5 Million</t>
  </si>
  <si>
    <t>·         4 Million</t>
  </si>
  <si>
    <t>·         -do-</t>
  </si>
  <si>
    <t>·         Comboni/baria, Kula pesa, Manyatta Secondary, Lentilia and Lorukushu</t>
  </si>
  <si>
    <t xml:space="preserve">·         Construction of 100,000 water tanks </t>
  </si>
  <si>
    <t>·         Machine repair and laying pipes</t>
  </si>
  <si>
    <t>·         Lorukushu</t>
  </si>
  <si>
    <t>·         6 Million</t>
  </si>
  <si>
    <t>·         Laisamis hosp.</t>
  </si>
  <si>
    <t>·         Const. of Modern maternity, equipping dispensaries, Solar installation, pit latrines and water tank</t>
  </si>
  <si>
    <t>·         Laisamis</t>
  </si>
  <si>
    <t>·          ECD at Nairibi, Fencing Mercy/Sakardala,</t>
  </si>
  <si>
    <t>·         8 Million</t>
  </si>
  <si>
    <t xml:space="preserve">·         Koya </t>
  </si>
  <si>
    <t>·         Const. of beading house &amp; equip</t>
  </si>
  <si>
    <t>·         Laisamis Sec. Sch &amp; Nairibi.</t>
  </si>
  <si>
    <t>·         Renovation of green hse.</t>
  </si>
  <si>
    <t>·         Laisamis town</t>
  </si>
  <si>
    <t>·         Equipping and stadium renovation</t>
  </si>
  <si>
    <t>·         0</t>
  </si>
  <si>
    <t>·         Merille town</t>
  </si>
  <si>
    <t>·         Pipe connection to all villages, Solar installation at main supply, water storage tanks for green houses</t>
  </si>
  <si>
    <t>·         1Million</t>
  </si>
  <si>
    <t>·         Const. of dispensary at Ntumo</t>
  </si>
  <si>
    <t xml:space="preserve">·         Incinerator  </t>
  </si>
  <si>
    <t>·         ECD Class</t>
  </si>
  <si>
    <t>·         Sport equipments</t>
  </si>
  <si>
    <t>·         4.6 Million</t>
  </si>
  <si>
    <t>·         Green houses and Pit latrine at livestock mkt.</t>
  </si>
  <si>
    <t>·         Const. of tented camp</t>
  </si>
  <si>
    <t>·         700,000</t>
  </si>
  <si>
    <t>·         At Lchoro</t>
  </si>
  <si>
    <t>·         0.5 Million</t>
  </si>
  <si>
    <t>·         Construction of 100,000 lts tank and piping system</t>
  </si>
  <si>
    <t>·         Solar panel at Thurusi</t>
  </si>
  <si>
    <t>·         Drilling of borehole, installation of solar panel and 100,000 lts tank</t>
  </si>
  <si>
    <t>·         Borehole at manyatta Sidarmut</t>
  </si>
  <si>
    <t>·         Tirgamo</t>
  </si>
  <si>
    <t>·         Green hse construction and capacity building</t>
  </si>
  <si>
    <t>·         Tourist facility</t>
  </si>
  <si>
    <t>·         Koya</t>
  </si>
  <si>
    <t>·         At Poogi</t>
  </si>
  <si>
    <t>·         Drilling of bore hole and water tank cons.</t>
  </si>
  <si>
    <t xml:space="preserve">·         Cons. Of dispensary </t>
  </si>
  <si>
    <t>·         Lontomtoliacentre, Losidan and Ndikiri</t>
  </si>
  <si>
    <t>·         Ndikiri /losidan</t>
  </si>
  <si>
    <t>·         400,000</t>
  </si>
  <si>
    <t>·         Sporting facilities</t>
  </si>
  <si>
    <t>·         At Weltei</t>
  </si>
  <si>
    <t>·         Green house</t>
  </si>
  <si>
    <t>·         For Youths</t>
  </si>
  <si>
    <t>·         IGAS provision</t>
  </si>
  <si>
    <t xml:space="preserve">·         At Ulauli </t>
  </si>
  <si>
    <t>·         4.5 Million</t>
  </si>
  <si>
    <t>·         Youth and Women groups</t>
  </si>
  <si>
    <t>·         Rehabillitation of bore hole</t>
  </si>
  <si>
    <t>·         Drilling of new bore hole, piping and storage tanks</t>
  </si>
  <si>
    <t>·         4Million</t>
  </si>
  <si>
    <t>·         Purchase of submersible pumps</t>
  </si>
  <si>
    <t>·         At Haliburwa</t>
  </si>
  <si>
    <t>·         Korr town</t>
  </si>
  <si>
    <t>·         Solar installation, lab. Equipments and beddings</t>
  </si>
  <si>
    <t>·         For stand by and emergencies</t>
  </si>
  <si>
    <t>·         Korr dispensary</t>
  </si>
  <si>
    <t>·         Cons. Of Maternity</t>
  </si>
  <si>
    <t>·         Cons. Of dispensary</t>
  </si>
  <si>
    <t>·         Cons. Of lab. and X-ray rooms</t>
  </si>
  <si>
    <t>·         At Namarei</t>
  </si>
  <si>
    <t>·         At Mpagas</t>
  </si>
  <si>
    <t>·         Water tank and piping system</t>
  </si>
  <si>
    <t>·         At  Namarei/Mpagas</t>
  </si>
  <si>
    <t>·         Fitting of pipes</t>
  </si>
  <si>
    <t>·         11 Million</t>
  </si>
  <si>
    <t>·         At Lengima</t>
  </si>
  <si>
    <t>·         Sports field  improvement</t>
  </si>
  <si>
    <t>·         Mpagas and Martdorop</t>
  </si>
  <si>
    <t>·          Ngurunit sports field</t>
  </si>
  <si>
    <t>·         Namarei field</t>
  </si>
  <si>
    <t>·         Small open air Mkt</t>
  </si>
  <si>
    <t>·         At Ngurunit</t>
  </si>
  <si>
    <t xml:space="preserve">·         Upgrading of dispensary, equipping, pit latrine construction and fencing </t>
  </si>
  <si>
    <t>·         Dispensary renovation and cons. Of 1 staff house</t>
  </si>
  <si>
    <t>·         Farakoren dispensary</t>
  </si>
  <si>
    <t>·         Dam desilting</t>
  </si>
  <si>
    <t>·         Illaut</t>
  </si>
  <si>
    <t>·         Well protection</t>
  </si>
  <si>
    <t>·         Soita dam</t>
  </si>
  <si>
    <t>·         500,000</t>
  </si>
  <si>
    <t>·         Lasayen Wells</t>
  </si>
  <si>
    <t>·         Farakoren primary</t>
  </si>
  <si>
    <t>·         Cons. Of water pans</t>
  </si>
  <si>
    <t>·         Pan desilting</t>
  </si>
  <si>
    <t>·         Water tanks &amp; Roofing</t>
  </si>
  <si>
    <t>·         At Salle and Tupcha</t>
  </si>
  <si>
    <t>·         Urowen pan</t>
  </si>
  <si>
    <t>·         7 Million</t>
  </si>
  <si>
    <t>·         At Sunyuro, Baalah, Goob-orre/Matarbah, Buri-Urwen and Halisurwa bore hole</t>
  </si>
  <si>
    <t>·         Gutters masonry tank and solar panel</t>
  </si>
  <si>
    <t>·         Balaah health center</t>
  </si>
  <si>
    <t>·         9 Million</t>
  </si>
  <si>
    <r>
      <t xml:space="preserve">·         </t>
    </r>
    <r>
      <rPr>
        <b/>
        <sz val="10"/>
        <color indexed="8"/>
        <rFont val="Times New Roman"/>
        <family val="1"/>
      </rPr>
      <t> </t>
    </r>
  </si>
  <si>
    <t>Loglogo</t>
  </si>
  <si>
    <t>Sport improvement and Constructions of slabs Loglogo town to Manyatta Juu</t>
  </si>
  <si>
    <t>Contructions of modern pit latrine at ECD Muslim primary school &amp; Loglogo Health Centre</t>
  </si>
  <si>
    <t>Kamboe</t>
  </si>
  <si>
    <t xml:space="preserve">Kamboe </t>
  </si>
  <si>
    <t>      Loglogo town</t>
  </si>
  <si>
    <t>      Soriadi borehole</t>
  </si>
  <si>
    <t>        Gudas borehole</t>
  </si>
  <si>
    <t>    2 Troughs &amp;  a Storage tank 50,000 lts</t>
  </si>
  <si>
    <t> Rehabilitation of   3 Trough  &amp; Construction of a Storage tank 50,000 lts</t>
  </si>
  <si>
    <t>   Rehabilitations of 2 water tanks at Gudas borehole</t>
  </si>
  <si>
    <t>     4 troughs ( 1 Lbaarok, 1 Llokileleng  &amp; 2   Lesitima ) &amp; piping systems</t>
  </si>
  <si>
    <t>   Lesitima to lokileleng to Lbaarok</t>
  </si>
  <si>
    <t>    Gudas borehole</t>
  </si>
  <si>
    <t>    Manyatta Lkirne- Manayatta Juu</t>
  </si>
  <si>
    <t>    Improvement of piping system</t>
  </si>
  <si>
    <t>  Slaughter hse renovation and disposal pit</t>
  </si>
  <si>
    <t>   Irrigation system installation -Green houses &amp; Water tanks ( Sirata, Mirigo Wome Group)</t>
  </si>
  <si>
    <t>    Livestock market construction</t>
  </si>
  <si>
    <t>      Basketball and Volley ball pitch</t>
  </si>
  <si>
    <t xml:space="preserve"> Kamboe </t>
  </si>
  <si>
    <t>  Two water troughs at Midrock borehole</t>
  </si>
  <si>
    <t>  100,000Ltr 2 Water tanks  Kamboe village  and Midrock borehole</t>
  </si>
  <si>
    <t>     Youths &amp; Sports</t>
  </si>
  <si>
    <t>    Small market shade</t>
  </si>
  <si>
    <t>   Cattle dip</t>
  </si>
  <si>
    <t>Sport improvement Longerimo- Komboe  road</t>
  </si>
  <si>
    <t xml:space="preserve"> Maternity construction</t>
  </si>
  <si>
    <t xml:space="preserve"> Incinirator</t>
  </si>
  <si>
    <t>Porter connection</t>
  </si>
  <si>
    <t>Fencing of dispensary</t>
  </si>
  <si>
    <t>Trade &amp; Industry</t>
  </si>
  <si>
    <t>Solar lighting installation Loglogo streets</t>
  </si>
  <si>
    <t xml:space="preserve"> Loglogo</t>
  </si>
  <si>
    <t>LOGLOGO  WARD  COMMUNITY PROPOSED PRIORITY PROJECTS</t>
  </si>
  <si>
    <t>Laisamis</t>
  </si>
  <si>
    <t xml:space="preserve"> Laisamis hosp.</t>
  </si>
  <si>
    <t xml:space="preserve"> Construction of 100,000 water tanks &amp;       Machine repair and laying pipes Comboni/baria, Kula pesa, Manyatta Secondary, Lentilia and Lorukushu</t>
  </si>
  <si>
    <t xml:space="preserve"> Constructions . of dispensary at Ntumo</t>
  </si>
  <si>
    <t>Marille</t>
  </si>
  <si>
    <t xml:space="preserve"> Green hse construction and capacity building</t>
  </si>
  <si>
    <t>Tourist facility</t>
  </si>
  <si>
    <t>Contructions of   ECD Class</t>
  </si>
  <si>
    <t>ECD at Nairibi, Fencing Mercy/Sakardala,</t>
  </si>
  <si>
    <t xml:space="preserve"> Renovation of green hse.</t>
  </si>
  <si>
    <t>Equipping and stadium renovation</t>
  </si>
  <si>
    <t>Const. of Modern maternity, equipping dispensaries, Solar installation, pit latrines and water tank</t>
  </si>
  <si>
    <t>2 Elevation tank at Manyatta Rongai &amp; Lokileleng)</t>
  </si>
  <si>
    <t xml:space="preserve">  Construction of  dispensary </t>
  </si>
  <si>
    <t>  Sporting facilities</t>
  </si>
  <si>
    <t xml:space="preserve"> Marille</t>
  </si>
  <si>
    <t xml:space="preserve"> Merille town</t>
  </si>
  <si>
    <t>Koya -Manyatta Sidarmut</t>
  </si>
  <si>
    <t>Koya - Thurusi</t>
  </si>
  <si>
    <t>Drilling of borehole, installation of solar panel and 100,000 lts tank</t>
  </si>
  <si>
    <t>Lontomtolio- centre, Losidan and Ndikiri</t>
  </si>
  <si>
    <t>Water tank and piping system</t>
  </si>
  <si>
    <t>Fitting of pipes</t>
  </si>
  <si>
    <t>IGAS provision</t>
  </si>
  <si>
    <t>Laisamis Sec. Sch &amp; Nairibi.</t>
  </si>
  <si>
    <t xml:space="preserve"> Laisamis town</t>
  </si>
  <si>
    <t>  Green house</t>
  </si>
  <si>
    <t xml:space="preserve"> Purchase of submersible pumps</t>
  </si>
  <si>
    <t>  Solar installation, lab. Equipments and beddings</t>
  </si>
  <si>
    <t>Rehabilitations of bore hole.</t>
  </si>
  <si>
    <t>Drilling of new borehole, piping and storage tanks.</t>
  </si>
  <si>
    <t>  Constructions of Maternity</t>
  </si>
  <si>
    <t xml:space="preserve"> Constructions of dispensary</t>
  </si>
  <si>
    <t xml:space="preserve"> Construction of lab. and X-ray rooms</t>
  </si>
  <si>
    <t xml:space="preserve"> Sports field  improvement</t>
  </si>
  <si>
    <t>  Small open air Mkt</t>
  </si>
  <si>
    <t xml:space="preserve"> Ngurunit sports field</t>
  </si>
  <si>
    <t>Namarei field</t>
  </si>
  <si>
    <t xml:space="preserve"> Ngurunet- Namarei</t>
  </si>
  <si>
    <t>Ngurunit</t>
  </si>
  <si>
    <t>Farakoren primary</t>
  </si>
  <si>
    <t>Baalah - Salle and Tupcha</t>
  </si>
  <si>
    <t>  Dispensary renovation and construction of 1 staff house</t>
  </si>
  <si>
    <t>     Contructions of ECD Class</t>
  </si>
  <si>
    <t>LAISAMIS   WARD  COMMUNITY PROPOSED PRIORITY PROJECTS</t>
  </si>
  <si>
    <t xml:space="preserve">Incinerator  </t>
  </si>
  <si>
    <t>Pipe connection to all villages, Solar installation at main supply, water storage tanks for green houses</t>
  </si>
  <si>
    <t>Sport equipments</t>
  </si>
  <si>
    <t>Contruction of ECD Class</t>
  </si>
  <si>
    <t>Koya</t>
  </si>
  <si>
    <t>Koya-Tirgamo</t>
  </si>
  <si>
    <t xml:space="preserve"> Koya -Poogi</t>
  </si>
  <si>
    <t>Lontomtolio-Ndikiri /losidan</t>
  </si>
  <si>
    <t xml:space="preserve"> Lontomtolio-Weltei</t>
  </si>
  <si>
    <t xml:space="preserve">Lontomtolio-Ulauli </t>
  </si>
  <si>
    <t>  Lontomtolio-Youth and Women groups</t>
  </si>
  <si>
    <t>Lontomtolio-For Youths</t>
  </si>
  <si>
    <t>Merille -Ntumo</t>
  </si>
  <si>
    <t>Balaah health center</t>
  </si>
  <si>
    <t>  Contructions of  ECD Class</t>
  </si>
  <si>
    <t>Drilling of bore hole and water tank cons.</t>
  </si>
  <si>
    <t xml:space="preserve">Construction of 50,000 lts tank </t>
  </si>
  <si>
    <t>KORR/NGURUNIT   WARD  COMMUNITY PROPOSED PRIORITY PROJECTS</t>
  </si>
  <si>
    <t>Korr/Ngurunet</t>
  </si>
  <si>
    <t>Korr</t>
  </si>
  <si>
    <t xml:space="preserve"> Ngurunet-Mpagas and Martdorop</t>
  </si>
  <si>
    <t>Ngurunet-  Mpagas</t>
  </si>
  <si>
    <t>Ngurunet- Namarei/Mpagas</t>
  </si>
  <si>
    <t>Ngurunet-  Lengima</t>
  </si>
  <si>
    <t>Soita dam desilting</t>
  </si>
  <si>
    <t>Illaut</t>
  </si>
  <si>
    <t>Lasayen wells protection</t>
  </si>
  <si>
    <t xml:space="preserve"> Upgrading of   Farakoren dispensary, equipping, pit latrine construction and fencing </t>
  </si>
  <si>
    <t xml:space="preserve"> Illaut</t>
  </si>
  <si>
    <t xml:space="preserve">  Urowen Water  pan  desilting </t>
  </si>
  <si>
    <t xml:space="preserve">Baalah </t>
  </si>
  <si>
    <t>Baalah</t>
  </si>
  <si>
    <t>Water tanks &amp; Roofing atSunyuro, Baalah, Goob-orre/Matarbah, Buri-Urwen and Halisurwa bore hole</t>
  </si>
  <si>
    <t>Gutters masonry tank and solar panel</t>
  </si>
  <si>
    <t>Construction of water pans</t>
  </si>
  <si>
    <t>ILLAUT LOCATION-Grand Total</t>
  </si>
  <si>
    <t>korr</t>
  </si>
  <si>
    <t>Drilling and equipping Borehole at seremino</t>
  </si>
  <si>
    <t>Rehabilitation of water source and piping in Gatab town</t>
  </si>
  <si>
    <t>Moite water supply</t>
  </si>
  <si>
    <t>Construction of  maternity ward and equipping the lab at Loiyangalani dispensary</t>
  </si>
  <si>
    <t>Construction and equipping of Dispensary in Arapal</t>
  </si>
  <si>
    <t>ECD at arapal and layeni</t>
  </si>
  <si>
    <t>Larachi irrigation scheme</t>
  </si>
  <si>
    <t>Expansion of desert museum Bandas and other facilities</t>
  </si>
  <si>
    <t>LOYANGALANI   WARD  COMMUNITY PROPOSED PRIORITY PROJECTS</t>
  </si>
  <si>
    <t>Construction of water reservoir in Maji Moto and Piping water to all villages and institutions in Loiyangalani town</t>
  </si>
  <si>
    <t>Construction of Loiyangalani,Lordapach,Arapal and Lolpilipili road</t>
  </si>
  <si>
    <t>Loyangalani</t>
  </si>
  <si>
    <t>Seremino</t>
  </si>
  <si>
    <t>Gatab</t>
  </si>
  <si>
    <t>Moite</t>
  </si>
  <si>
    <t>Arapal</t>
  </si>
  <si>
    <t>Arapal &amp; Layeni</t>
  </si>
  <si>
    <t xml:space="preserve"> Larachi</t>
  </si>
  <si>
    <t>VOTE</t>
  </si>
  <si>
    <t>Total</t>
  </si>
  <si>
    <t>R3470</t>
  </si>
  <si>
    <t>R3463</t>
  </si>
  <si>
    <t>R3468</t>
  </si>
  <si>
    <t>R3473</t>
  </si>
  <si>
    <t>R3466</t>
  </si>
  <si>
    <t>R3472</t>
  </si>
  <si>
    <t>R3469</t>
  </si>
  <si>
    <t>R3467</t>
  </si>
  <si>
    <t>R3465</t>
  </si>
  <si>
    <t>R3471</t>
  </si>
  <si>
    <t>R3464</t>
  </si>
  <si>
    <t>R3462</t>
  </si>
  <si>
    <t>Department</t>
  </si>
  <si>
    <t>Kargi/South Horr</t>
  </si>
  <si>
    <t>Kargi/ Ngurinet</t>
  </si>
  <si>
    <t>WARDS</t>
  </si>
  <si>
    <t>Agriculture,Livestock &amp; Fisheries Development</t>
  </si>
  <si>
    <t>Executive  (Office of the Governor)</t>
  </si>
  <si>
    <t>County Assessmbly</t>
  </si>
  <si>
    <t>Grand Totals</t>
  </si>
  <si>
    <t>R3461</t>
  </si>
  <si>
    <t>Tourism,Culture &amp; Social Services</t>
  </si>
  <si>
    <t>Education ,Skills Development,youth &amp; Sports</t>
  </si>
  <si>
    <t>Trade,Industry &amp; Enterprise Development</t>
  </si>
  <si>
    <t>County Public Service Board</t>
  </si>
  <si>
    <t>Water,Enviroment &amp; Natural Resources</t>
  </si>
  <si>
    <t>Public works,Roads, Housing  &amp;Transpor</t>
  </si>
  <si>
    <t>Trade, Industry &amp; Enterprise Development</t>
  </si>
  <si>
    <t>Agriculture,Livestock % Fisheries Development</t>
  </si>
  <si>
    <t>Finance Management Services</t>
  </si>
  <si>
    <t>Administration,Coordination &amp; ICT</t>
  </si>
  <si>
    <t>Energy, Lands &amp; Urban Development</t>
  </si>
  <si>
    <t>Construction of  dispensary at Nairibi</t>
  </si>
  <si>
    <t>Nairibi</t>
  </si>
  <si>
    <t>Support to Malako Conservancy</t>
  </si>
  <si>
    <t xml:space="preserve">Construction &amp; Equiping  of ECD </t>
  </si>
  <si>
    <t>Support to Melaiko conservancy- Guthas- Sori adi</t>
  </si>
  <si>
    <t>Solid waste management</t>
  </si>
  <si>
    <t>MARSABIT COUNTY PRIORITIZED PROPOSED DEVELOPMENT PROJECTS FOR FY 2016/2017</t>
  </si>
  <si>
    <t>Education, Youths, Sports and skills development</t>
  </si>
  <si>
    <t>Township</t>
  </si>
  <si>
    <t>Water and Environment</t>
  </si>
  <si>
    <t>Holale</t>
  </si>
  <si>
    <t>Health</t>
  </si>
  <si>
    <t>Renovation of pit latrine at Gurumesa dispensary</t>
  </si>
  <si>
    <t>Gurumesa</t>
  </si>
  <si>
    <t>Administration, Coordination and ICT</t>
  </si>
  <si>
    <t>Purchase of a motobike and office furniture for ward administrator</t>
  </si>
  <si>
    <t>Butiye</t>
  </si>
  <si>
    <t>Construction of pan at Harr Ossa</t>
  </si>
  <si>
    <t>Water and environment</t>
  </si>
  <si>
    <t>Harr Ossa</t>
  </si>
  <si>
    <t>Construction of pan at Teso/Elrayan</t>
  </si>
  <si>
    <t>Teso/Elrayan</t>
  </si>
  <si>
    <t>Construction and equipping of dispensary at Hantut</t>
  </si>
  <si>
    <t>Hantut</t>
  </si>
  <si>
    <t>Equipping of Somare dispensary</t>
  </si>
  <si>
    <t>Somare</t>
  </si>
  <si>
    <t>Flood lights at Butiye, Goromuda and Harr ossa</t>
  </si>
  <si>
    <t>Energy, Lands and urban development</t>
  </si>
  <si>
    <t>Butiye, Goromuda and Harr ossa</t>
  </si>
  <si>
    <t>Equipping of Junction dispensary</t>
  </si>
  <si>
    <t>Junction</t>
  </si>
  <si>
    <t>Town</t>
  </si>
  <si>
    <t>Sessi</t>
  </si>
  <si>
    <t>Expansion and desilting of Holale Dam</t>
  </si>
  <si>
    <t>Culture and social services</t>
  </si>
  <si>
    <t>Golbo</t>
  </si>
  <si>
    <t>Odda</t>
  </si>
  <si>
    <t>Establishment of Dabel conservancy</t>
  </si>
  <si>
    <t>Dabel</t>
  </si>
  <si>
    <t>Agriculture, Livestock and fisheries</t>
  </si>
  <si>
    <t>Misa</t>
  </si>
  <si>
    <t>Construction and equipping of dining and kitchen at ATC at Misa</t>
  </si>
  <si>
    <t>Education, youths and skills development</t>
  </si>
  <si>
    <t>Construction and equipping  of ECD at Dabel Primary</t>
  </si>
  <si>
    <t>Construction and equipping of ECD at Gola primary</t>
  </si>
  <si>
    <t>Gola</t>
  </si>
  <si>
    <t>Construction and equipping of dispensary at Godoma Didiko</t>
  </si>
  <si>
    <t>Godoma Didiko</t>
  </si>
  <si>
    <t>Construction of dam at Godoma</t>
  </si>
  <si>
    <t xml:space="preserve">Godoma </t>
  </si>
  <si>
    <t>Desilting of Watiti dam</t>
  </si>
  <si>
    <t>Watiti</t>
  </si>
  <si>
    <t>Reabilitation of Nana dam</t>
  </si>
  <si>
    <t>Nana</t>
  </si>
  <si>
    <t>Construction of underground water tank at Konkom</t>
  </si>
  <si>
    <t>Konkom</t>
  </si>
  <si>
    <t>Construction and equipping of ECD class at Yaballo</t>
  </si>
  <si>
    <t>Yaballo</t>
  </si>
  <si>
    <t>Fencing and equipping of Yaballo maternity</t>
  </si>
  <si>
    <t>Purchase of office furniture and motorbike for Golbo Ward administrator's office</t>
  </si>
  <si>
    <t>Heilu-Manyatta</t>
  </si>
  <si>
    <t>Levelling, grading, construction of sheds and 2 double pit latrines at Sessi field near myl hospital</t>
  </si>
  <si>
    <t>Lands, energy and urban development</t>
  </si>
  <si>
    <t>Installation of solar panel at Kinisa borehole</t>
  </si>
  <si>
    <t>Kinisa</t>
  </si>
  <si>
    <t>Piping to Kinisa dispensary</t>
  </si>
  <si>
    <t>Equipping of Maternity at Kinisa</t>
  </si>
  <si>
    <t>Construction of water pan at Harsacko</t>
  </si>
  <si>
    <t>Construction of water pan at Halo Bula</t>
  </si>
  <si>
    <t>Expansion of Har bora dam</t>
  </si>
  <si>
    <t>Heilu</t>
  </si>
  <si>
    <t>Roads and public works</t>
  </si>
  <si>
    <t>Grading of Heilu link roads (within Heilu)</t>
  </si>
  <si>
    <t>Equipping of Heilu maternity</t>
  </si>
  <si>
    <t>Fencing of manyatta dispensary</t>
  </si>
  <si>
    <t>Manyatta</t>
  </si>
  <si>
    <t>Education, youths and sport</t>
  </si>
  <si>
    <t>Rehabilitation of sport ground at manyatta mix</t>
  </si>
  <si>
    <t>Culture and Social services</t>
  </si>
  <si>
    <t>Construction of cultural gallery, double pit latrine and fencing at Gubalticha</t>
  </si>
  <si>
    <t>Fencing and construction of double pit latrine at Manyatta cementry</t>
  </si>
  <si>
    <t>street lighting within Lami village</t>
  </si>
  <si>
    <t>Lami</t>
  </si>
  <si>
    <t>Piping to Lami villag</t>
  </si>
  <si>
    <t>construction of water kiosk at Lami village</t>
  </si>
  <si>
    <t>construction of a bridge between infant cementary and Hassan Bake's residence</t>
  </si>
  <si>
    <t>GRAND TOTAL - TOWNSHIP WARD</t>
  </si>
  <si>
    <t>Fully equipping and operationalization of polytechnic</t>
  </si>
  <si>
    <t>GRAND TOTAL - BUTIYE WARD</t>
  </si>
  <si>
    <t>SUB COUNTY NAME:-------MOYALE ----------WARD: -----TOWNSHIP------------------------------------------------------------</t>
  </si>
  <si>
    <t>SUB COUNTY NAME:-------MOYALE --------WARD: ---------GOLBO----------------------------------------------------------</t>
  </si>
  <si>
    <t>GRAND TOTAL - GOLBO WARD</t>
  </si>
  <si>
    <t>GRAND TOTAL - HEILU/MANYATTA WARD</t>
  </si>
  <si>
    <t>Rehabilitation of Uran Borehole (and new Genset)</t>
  </si>
  <si>
    <t>Construction of new Water pan at Badhanot</t>
  </si>
  <si>
    <t>Fencing Deep Water reservior at Walda</t>
  </si>
  <si>
    <t>Construction of Manyatta Galma water pan</t>
  </si>
  <si>
    <t>Instalation of 100m3 Elevated steel tank at Golole Borehole</t>
  </si>
  <si>
    <t>Desilting of Ellebor Water pan</t>
  </si>
  <si>
    <t>Uran</t>
  </si>
  <si>
    <t>Walda</t>
  </si>
  <si>
    <t>Golole</t>
  </si>
  <si>
    <t>Elebor</t>
  </si>
  <si>
    <t>Renovation &amp; Equipping of Uran dispensary</t>
  </si>
  <si>
    <t>Construction of nurse quarter -Walda Dispensary</t>
  </si>
  <si>
    <t>Renovation &amp; equipping of Golole Maternity</t>
  </si>
  <si>
    <t>Construction of new borehole at Etir</t>
  </si>
  <si>
    <t>Rawan (Itir)</t>
  </si>
  <si>
    <t xml:space="preserve">Construction &amp; equipping ECD classrom </t>
  </si>
  <si>
    <t>Spot improvement of Walda - Banale Road</t>
  </si>
  <si>
    <t>Establishment of veterinary checkpoint (Solar fridge/deep freezer)</t>
  </si>
  <si>
    <t>GRAND TOTAL - URAN WARD</t>
  </si>
  <si>
    <t>Desilting &amp; Fencing at Ramata pan</t>
  </si>
  <si>
    <t>Desilting of Waye Dida dam</t>
  </si>
  <si>
    <t>Sololo</t>
  </si>
  <si>
    <t>Mado adi</t>
  </si>
  <si>
    <t>Construction and Equipping of ECD classroom</t>
  </si>
  <si>
    <t>Construction of ECD classroom at Godho-Lokho</t>
  </si>
  <si>
    <t>Anona</t>
  </si>
  <si>
    <t>Godho-Lokho</t>
  </si>
  <si>
    <t>Construction of water tank, kiosk &amp; piping at Ramole</t>
  </si>
  <si>
    <t>SUB COUNTY NAME:-------MOYALE -----WARD:--------URAN--------------------------------------------------------------</t>
  </si>
  <si>
    <t>Construction of social hall</t>
  </si>
  <si>
    <t>Construction of slaughter slab</t>
  </si>
  <si>
    <t>Agriculture</t>
  </si>
  <si>
    <t xml:space="preserve">Construction and Equiping Maternity wing </t>
  </si>
  <si>
    <t>Spot improvement on Mado Adi-Waye Godha road</t>
  </si>
  <si>
    <t>Waye-Godha</t>
  </si>
  <si>
    <t>GRAND TOTAL - SOLOLO WARD</t>
  </si>
  <si>
    <t>GRAND TOTAL - OBBU WARD</t>
  </si>
  <si>
    <t>Rehabilitation of Malbe Bali Borehole (Plus Genset)</t>
  </si>
  <si>
    <t>Expansion and desilting of Adadi Water Pan</t>
  </si>
  <si>
    <t>Desilting and Expansion of DF Water Pan</t>
  </si>
  <si>
    <t>Malbe Bali</t>
  </si>
  <si>
    <t>Adadi</t>
  </si>
  <si>
    <t>DF</t>
  </si>
  <si>
    <t>Obbu</t>
  </si>
  <si>
    <t>Grading Amballo - Cherar-Demo Road</t>
  </si>
  <si>
    <t>Spot Improvement of DF- Gadakorma-Dirdambi road</t>
  </si>
  <si>
    <t>Amballo</t>
  </si>
  <si>
    <t>Gadakorma</t>
  </si>
  <si>
    <t>Construction of Laboratory at DF Health Centre</t>
  </si>
  <si>
    <t>Equipping of DF Laboratory</t>
  </si>
  <si>
    <t xml:space="preserve">Construction and Equipping Maternity Wing </t>
  </si>
  <si>
    <t>Sololo Makutano</t>
  </si>
  <si>
    <t>Construction and Equipping of ECD</t>
  </si>
  <si>
    <t>Equipping of ECD class</t>
  </si>
  <si>
    <t>Purchase and installation of  10,000L Plastic tank at ECD</t>
  </si>
  <si>
    <t>Lafein</t>
  </si>
  <si>
    <t>Kukub</t>
  </si>
  <si>
    <t>Mukh Gura</t>
  </si>
  <si>
    <t>Veterinary cold storage check points</t>
  </si>
  <si>
    <t>Constructtion of Slaughter Slab</t>
  </si>
  <si>
    <t>SUB COUNTY</t>
  </si>
  <si>
    <t>3465: COUNTY PUBLIC SERVICE BOARD</t>
  </si>
  <si>
    <t>3461: COUNTY ASSEMBLY</t>
  </si>
  <si>
    <t>3468: ADMINISTRATION AND ICT</t>
  </si>
  <si>
    <t>3470: PUBLIC WORKS</t>
  </si>
  <si>
    <t>3473: CULTURE AND SOCIAL SERVICES</t>
  </si>
  <si>
    <t>SUB COUNTY NAME:  MOYALE   WARD:   BUTIYE</t>
  </si>
  <si>
    <t>SUB COUNTY NAME:------LAISAMIS-----------------------------------------------------------------------------</t>
  </si>
  <si>
    <t>EDUCATION, SKILLS &amp; SPORTS</t>
  </si>
  <si>
    <t>ADMINISTRATION</t>
  </si>
  <si>
    <t>GRAND TOTAL -KARGI/SOURTH HORR</t>
  </si>
  <si>
    <t>WARD NAME: KARGI-SOUTH HORR</t>
  </si>
  <si>
    <t>WARD NAME: KORR/NGURNIT</t>
  </si>
  <si>
    <t>ENERGY,LANDS</t>
  </si>
  <si>
    <t>GRAND TOTAL -KORR/NGURNIT</t>
  </si>
  <si>
    <t>MARSABIT COUNTY PRIORITIZED PROPOSED DEVELOPMENT PROJECT FOR FY 2016/2017</t>
  </si>
  <si>
    <t>WARD NAME: LAISAMIS WARD</t>
  </si>
  <si>
    <t>SUB COUNTY NAME: LAISAMIS</t>
  </si>
  <si>
    <t>LOCATION</t>
  </si>
  <si>
    <t xml:space="preserve">Construction of 1 Staff house </t>
  </si>
  <si>
    <t>Construction and equipping of Dispensary</t>
  </si>
  <si>
    <t xml:space="preserve">Construction of 2 staff houses </t>
  </si>
  <si>
    <t>Laisamis Referal  hosp</t>
  </si>
  <si>
    <t>Completion of fence</t>
  </si>
  <si>
    <t xml:space="preserve">Repair of water systerm </t>
  </si>
  <si>
    <t>Construction of Incinerator</t>
  </si>
  <si>
    <t>Merille health centre</t>
  </si>
  <si>
    <t>Water, Environment &amp; Natural Resource</t>
  </si>
  <si>
    <t>Piping System</t>
  </si>
  <si>
    <t>Sakaldara</t>
  </si>
  <si>
    <t>Rehabilitation of borehole</t>
  </si>
  <si>
    <t>Seresipeni</t>
  </si>
  <si>
    <t>Construction of water tank (50,000L)</t>
  </si>
  <si>
    <t>Lamayana</t>
  </si>
  <si>
    <t>Rehabilitation of shallow wells</t>
  </si>
  <si>
    <t>Weltei</t>
  </si>
  <si>
    <t>Rehabilitation of Ulauli Borehole</t>
  </si>
  <si>
    <t>Ulauli</t>
  </si>
  <si>
    <t>Public Works, Roads, Housing &amp;Transport</t>
  </si>
  <si>
    <t>Clearing of Merille - Nolotaola roads</t>
  </si>
  <si>
    <t>Nolotola</t>
  </si>
  <si>
    <t>Education, Skill Development Youth &amp; Sports</t>
  </si>
  <si>
    <t>ECD class, Equipment toils water tank</t>
  </si>
  <si>
    <t>Tirgamo</t>
  </si>
  <si>
    <t>ECD class, Equipment toils water tank  Laisamis (Mercy pry)</t>
  </si>
  <si>
    <t>ECD Class at lontolio Primary school</t>
  </si>
  <si>
    <t>Lontolio</t>
  </si>
  <si>
    <t>Fencing of youth play ground</t>
  </si>
  <si>
    <t>Lontolio centre</t>
  </si>
  <si>
    <t>ECD Ndikir Primary Fencing</t>
  </si>
  <si>
    <t>Equipment Merille youth polytechnic e.g Solar installation, latrines, kitchen &amp; furniture</t>
  </si>
  <si>
    <t>Merille youth polytecnic</t>
  </si>
  <si>
    <t>Fencing of youth stadium</t>
  </si>
  <si>
    <t>Merille stadium</t>
  </si>
  <si>
    <t>Repairing of a green House at Uauli</t>
  </si>
  <si>
    <t>GRAND TOTAL - LAISAMIS WARD</t>
  </si>
  <si>
    <t>Constaction and equiping of  labaratory</t>
  </si>
  <si>
    <t>Logologo</t>
  </si>
  <si>
    <t>Logologo   Health centre</t>
  </si>
  <si>
    <t>Improvement of  lighting system</t>
  </si>
  <si>
    <t>Staff Latrine</t>
  </si>
  <si>
    <t>Piping system to staff house</t>
  </si>
  <si>
    <t>Incenerator</t>
  </si>
  <si>
    <t>Renovation  of drug store</t>
  </si>
  <si>
    <t>Lighting system at AIC Dispensary</t>
  </si>
  <si>
    <t>Manyatta Juu</t>
  </si>
  <si>
    <t>Waiting system at Kamboe Dispensary</t>
  </si>
  <si>
    <t>Fenecing of Lokileleng water pan</t>
  </si>
  <si>
    <t>Lokileleng</t>
  </si>
  <si>
    <t>Water tank  50,000 Ltrs</t>
  </si>
  <si>
    <t>Manyatta  Bule</t>
  </si>
  <si>
    <t>Piping of water to Manyatta Juu from Lesitima</t>
  </si>
  <si>
    <t>Lesitima</t>
  </si>
  <si>
    <t>Tank at Lcheket  &amp;  Rehabilitation of the machine</t>
  </si>
  <si>
    <t>Rehabilitation of water system from community tank to school</t>
  </si>
  <si>
    <t>ROADS AND PUBLIC WORKS</t>
  </si>
  <si>
    <t xml:space="preserve">Ilbarok road from town </t>
  </si>
  <si>
    <t xml:space="preserve"> Logologo</t>
  </si>
  <si>
    <t>Ilbarok</t>
  </si>
  <si>
    <t>ECD Fencing</t>
  </si>
  <si>
    <t>Muslim ECD</t>
  </si>
  <si>
    <t>Logologo Girls  Secondary lockers ,chairs for classrom, beds and dinnig tables</t>
  </si>
  <si>
    <t>Renovation of three green houses and irrigation from the tank</t>
  </si>
  <si>
    <t>GRAND TOTAL - LOGOLOGO WARD</t>
  </si>
  <si>
    <t>WARD NAME:-------------LOIYANGALANI------------------------------------------------------------</t>
  </si>
  <si>
    <t>Equipping of Moite dispensary</t>
  </si>
  <si>
    <t>Loiyangalani</t>
  </si>
  <si>
    <t>Construction of Losikiriachi dispensary</t>
  </si>
  <si>
    <t>Losikiriachi</t>
  </si>
  <si>
    <t>Construction of Larachi dispensary</t>
  </si>
  <si>
    <t>Larachi</t>
  </si>
  <si>
    <t>Construction of staff house at Olturot Dispensary</t>
  </si>
  <si>
    <t>Olturot</t>
  </si>
  <si>
    <t>Construction of Ngororoi dispensary</t>
  </si>
  <si>
    <t>Ngororoi</t>
  </si>
  <si>
    <t>Fencing of Olturot dispensary</t>
  </si>
  <si>
    <t>Rehabilitation of Ngoboleng water source</t>
  </si>
  <si>
    <t>El-molo</t>
  </si>
  <si>
    <t>Rehabilitation of Arapal water supply</t>
  </si>
  <si>
    <t>Construction of Loiy-Oromtere road</t>
  </si>
  <si>
    <t>Gas</t>
  </si>
  <si>
    <t>Furnishing of Loiy ECDE</t>
  </si>
  <si>
    <t>Construction and equipping of Gatab ECDE</t>
  </si>
  <si>
    <t>Construction and equipping of Komote ECDE</t>
  </si>
  <si>
    <t>Purchase of 3 phase generator, cool box, fencing &amp; toilet at Loiyangalani cold storage centre.</t>
  </si>
  <si>
    <t>Improvement of animal breeds at Gatab</t>
  </si>
  <si>
    <t>Social hall at Gatab</t>
  </si>
  <si>
    <t>GRAND TOTAL -LOIYANGALANI</t>
  </si>
  <si>
    <t>WARD NAME: DUKANA</t>
  </si>
  <si>
    <t>SUB COUNTY NAME: NORTH HORR</t>
  </si>
  <si>
    <t>PROJECT LOCATION</t>
  </si>
  <si>
    <t>Balesa Saru  Dispensary</t>
  </si>
  <si>
    <t>Equipment</t>
  </si>
  <si>
    <t>Dukana</t>
  </si>
  <si>
    <t>Balesa Saru</t>
  </si>
  <si>
    <t>Lighting</t>
  </si>
  <si>
    <t>Toilets</t>
  </si>
  <si>
    <t>Incinerator</t>
  </si>
  <si>
    <t>Furniture</t>
  </si>
  <si>
    <t>Solar Installation at shallow wells</t>
  </si>
  <si>
    <t>Storage tank and guttering</t>
  </si>
  <si>
    <t xml:space="preserve">Repair and Renovation </t>
  </si>
  <si>
    <t xml:space="preserve">Balesa Saru Staff House </t>
  </si>
  <si>
    <t>Solar Lighting</t>
  </si>
  <si>
    <t>Water Storage Tank</t>
  </si>
  <si>
    <t>Beddings</t>
  </si>
  <si>
    <t>Dukana Health Centre - Lab equipment</t>
  </si>
  <si>
    <t>Dukana Town</t>
  </si>
  <si>
    <t>Elhadi Maternity</t>
  </si>
  <si>
    <t>Elhadi</t>
  </si>
  <si>
    <t>Lighting System</t>
  </si>
  <si>
    <t>Water Storage tanks(2)</t>
  </si>
  <si>
    <t>Balesa Dispensary(Maternity)</t>
  </si>
  <si>
    <t>Balesa</t>
  </si>
  <si>
    <t xml:space="preserve"> Incinerator</t>
  </si>
  <si>
    <t>Balesa Dispensary (Staff House)</t>
  </si>
  <si>
    <t>Construction of Balesa Outpatient unit with equipment</t>
  </si>
  <si>
    <t>Dukana Town Water Supply</t>
  </si>
  <si>
    <r>
      <rPr>
        <sz val="10"/>
        <color indexed="8"/>
        <rFont val="Times New Roman"/>
        <family val="1"/>
      </rPr>
      <t>Installation of 2</t>
    </r>
    <r>
      <rPr>
        <vertAlign val="superscript"/>
        <sz val="10"/>
        <color indexed="8"/>
        <rFont val="Times New Roman"/>
        <family val="1"/>
      </rPr>
      <t>nd</t>
    </r>
    <r>
      <rPr>
        <sz val="10"/>
        <color indexed="8"/>
        <rFont val="Times New Roman"/>
        <family val="1"/>
      </rPr>
      <t xml:space="preserve"> generator</t>
    </r>
  </si>
  <si>
    <t>Repair and renovation of the old town water supply and connection to schools</t>
  </si>
  <si>
    <t>Elhadi Town Water Supply</t>
  </si>
  <si>
    <t>Repair and renovation of town water storage tank</t>
  </si>
  <si>
    <t>Piping of water from main tank to town</t>
  </si>
  <si>
    <t>Construction of overhead tank and piping of water from overhead tank to town</t>
  </si>
  <si>
    <t>Marime Water Supply</t>
  </si>
  <si>
    <t xml:space="preserve">Renovation of water storage tank </t>
  </si>
  <si>
    <t>Marime</t>
  </si>
  <si>
    <t>Pipeline to Marime Rural Centre-3KM away</t>
  </si>
  <si>
    <t>Balesa Town Water Supply</t>
  </si>
  <si>
    <t>Construction of water kioks(2) and fencing of generator house</t>
  </si>
  <si>
    <t>Piping of water system from main tank to 2kiosks</t>
  </si>
  <si>
    <t>Double pit latrine for settlements near Marime Borehole</t>
  </si>
  <si>
    <t>Underground Water storage tank for Yaa Sharbana</t>
  </si>
  <si>
    <t>Yaa Sharbana</t>
  </si>
  <si>
    <t>Purchase and installation of  uni-hut for Yaa Algana</t>
  </si>
  <si>
    <t>Yaa Algana</t>
  </si>
  <si>
    <t>Purchase and installation of uni-hut for Yaa Sharbana</t>
  </si>
  <si>
    <t>Drilling,installation of Garwole Borehole</t>
  </si>
  <si>
    <t>Garwole</t>
  </si>
  <si>
    <t>Balesa Saru Dormitory</t>
  </si>
  <si>
    <t>Lighting system</t>
  </si>
  <si>
    <t>Storage tanks(2)</t>
  </si>
  <si>
    <t>Trade</t>
  </si>
  <si>
    <t>Dukana Market Stall</t>
  </si>
  <si>
    <t>Water Storage Tanks(2)</t>
  </si>
  <si>
    <t>Dukana Ward Administrator’s Office</t>
  </si>
  <si>
    <t>Culture</t>
  </si>
  <si>
    <t>Dukana Social Hall</t>
  </si>
  <si>
    <t>Dukana ABT Centre</t>
  </si>
  <si>
    <t>GRAND TOTAL - DUKANA WARD</t>
  </si>
  <si>
    <t>WARD NAME:- ILLERET</t>
  </si>
  <si>
    <t>SUB COUNTY NAME:-------------NORTH HORR----------------------------------------------------------------------</t>
  </si>
  <si>
    <t>ECD at El-Maasiah (Classroom,Solar Lighting,Furniture,Fencing, Toilets &amp; Water tank</t>
  </si>
  <si>
    <t>Illeret</t>
  </si>
  <si>
    <t>El Maasiah</t>
  </si>
  <si>
    <t>Illeret Secondary School(Administration Block,Solar Lighting &amp; Furniture</t>
  </si>
  <si>
    <t>Telesgai Pry-Solar Lighting</t>
  </si>
  <si>
    <t>Telesgai</t>
  </si>
  <si>
    <t>ROADS</t>
  </si>
  <si>
    <t>A drift at Ilkimire Lagga</t>
  </si>
  <si>
    <t>Ilkimire</t>
  </si>
  <si>
    <t>A slab at Nachicham Lagga</t>
  </si>
  <si>
    <t>Nachicham</t>
  </si>
  <si>
    <t>Dry fish store at Silicho,Solar Lighting,Racks</t>
  </si>
  <si>
    <t>Silicho</t>
  </si>
  <si>
    <t>Ward Administrator’s Office -Solar Lighting</t>
  </si>
  <si>
    <t>CULTURE AND SOCIAL SERVICES</t>
  </si>
  <si>
    <t>Equipping of community social Hall ( Solar,Furniture,Toilet)</t>
  </si>
  <si>
    <t>Fencing of community social Hall</t>
  </si>
  <si>
    <t>GRAND TOTAL - ILLERET WARD</t>
  </si>
  <si>
    <t xml:space="preserve">Two B/room staff hse </t>
  </si>
  <si>
    <t>Kalacha  hosp.</t>
  </si>
  <si>
    <t xml:space="preserve">construction of Lab. &amp; Equiping </t>
  </si>
  <si>
    <t>Maikona hosp.</t>
  </si>
  <si>
    <t>Equiping of   Arano dispensary</t>
  </si>
  <si>
    <t>Arano disp.</t>
  </si>
  <si>
    <t>Equiping of Boji dispensary</t>
  </si>
  <si>
    <t>Boji disp.</t>
  </si>
  <si>
    <t>Twin Toilets No. 3</t>
  </si>
  <si>
    <t>Kalacha  town</t>
  </si>
  <si>
    <t>Spot improvement from Mkn junction to h/hills(Slab at kara bara spot)</t>
  </si>
  <si>
    <t>Maikona</t>
  </si>
  <si>
    <t>hurri hills</t>
  </si>
  <si>
    <t>Rage Qurqur ires dima Rd.</t>
  </si>
  <si>
    <t>kalacha</t>
  </si>
  <si>
    <t>El boji to Gotu rd.</t>
  </si>
  <si>
    <t>El gade</t>
  </si>
  <si>
    <t>WATER , ENVIRONMENTS &amp; NATURAL RES.</t>
  </si>
  <si>
    <t>Establishment of a tree nursery seedlings</t>
  </si>
  <si>
    <t>Ext. of piping &amp; water tank 50cc from Boji-Bas balesa</t>
  </si>
  <si>
    <t>Boji</t>
  </si>
  <si>
    <t>Tree planting and establishment of a nursery seedlings</t>
  </si>
  <si>
    <t>Rehabilitation of Arilo bore hole, trough &amp;  piping</t>
  </si>
  <si>
    <t>Arilo</t>
  </si>
  <si>
    <t>Drilling of Gamura borehole</t>
  </si>
  <si>
    <t>Gamura</t>
  </si>
  <si>
    <t>Rock catchment repair</t>
  </si>
  <si>
    <t>Forole</t>
  </si>
  <si>
    <t xml:space="preserve">Change of generator at I rres Burale </t>
  </si>
  <si>
    <t>underground tank 1 each at Olla Guba,shankera,Kubi qoti &amp; olla mangutho</t>
  </si>
  <si>
    <t>repair of underground tank(5 no.)shankera no 1,kubi qoti no 1 and ola balesa no 3</t>
  </si>
  <si>
    <t>Drilling &amp; equiping of El gade  borehole</t>
  </si>
  <si>
    <t>El  gade</t>
  </si>
  <si>
    <t>Underground tank at Dakane</t>
  </si>
  <si>
    <t>Dakane</t>
  </si>
  <si>
    <t>underground tank,toilet and bathroom</t>
  </si>
  <si>
    <t>elle dimtu conservancy</t>
  </si>
  <si>
    <t>underground tank at  yaa gara  2 no.</t>
  </si>
  <si>
    <t>underground tank at idhido 1 no.</t>
  </si>
  <si>
    <t>Social hall for youth empowerment</t>
  </si>
  <si>
    <t>GRAND TOTAL - MAIKONA WARD</t>
  </si>
  <si>
    <t>PROJECT SITE</t>
  </si>
  <si>
    <t xml:space="preserve">AGRIC  LIVESTOCK </t>
  </si>
  <si>
    <t>QORQA</t>
  </si>
  <si>
    <t>GAS</t>
  </si>
  <si>
    <t>GRAND TOTAL - NORTH HORR WARD</t>
  </si>
  <si>
    <t xml:space="preserve">WARD NAME: TURBI </t>
  </si>
  <si>
    <t>Constructions 2no. Staff houses  in Bubisa Health centre</t>
  </si>
  <si>
    <t>Turbi</t>
  </si>
  <si>
    <t>Bubisa</t>
  </si>
  <si>
    <t>Constructions  double pitlatrine</t>
  </si>
  <si>
    <t>Fencing of  Bubisa Health centre</t>
  </si>
  <si>
    <t>Fencing of  Turbi  Health centre</t>
  </si>
  <si>
    <t>Constructions of  placenta Septic tank at Turbi Health Centre</t>
  </si>
  <si>
    <t>Construction of 50000m2 Mansory water tank with Gutters at Turbi Health Centre</t>
  </si>
  <si>
    <t>Fencing of  Burgabo  Health centre</t>
  </si>
  <si>
    <t>Burgabo</t>
  </si>
  <si>
    <t>Setting up of Tigo emergency clinic ( Purchase of 10000Ltrs plastic Tank Ksh 150,000 ,constructions of double pit latrines Ksh. 550,000 &amp; construction of Clinics.</t>
  </si>
  <si>
    <t>Tigo</t>
  </si>
  <si>
    <t>Equipping of Shurr Maternity ward</t>
  </si>
  <si>
    <t>Shurr</t>
  </si>
  <si>
    <t xml:space="preserve">Construction &amp; Equipping of Shurr laboratory </t>
  </si>
  <si>
    <t>Constructions of 50m2 mansory Tank at Bubisa II Borehole</t>
  </si>
  <si>
    <t>Construction of  2no. Troughts at Bubisa II Borehole</t>
  </si>
  <si>
    <t>Constructions of 150m2 underground  water tank  at Horonderi</t>
  </si>
  <si>
    <t>Rehabilitation of 2no.mansory tank &amp; 2no.troughs at Burgabo</t>
  </si>
  <si>
    <t>Construction of underground water tank at Tigo</t>
  </si>
  <si>
    <t>Rehabilitation of Tafanchiftu Rock catchment at Turbi</t>
  </si>
  <si>
    <t>Support tree nursery  planting  at Shurr Centre</t>
  </si>
  <si>
    <t>Support Shurr Conservancy</t>
  </si>
  <si>
    <t>Construction  of  100m2  Mansory tank  and twin troughs at Awaye  borehole</t>
  </si>
  <si>
    <t>Openning up of Mude- Horonderi Road</t>
  </si>
  <si>
    <t>Sport improvement on Shurr -Bubisa road</t>
  </si>
  <si>
    <t>Support youth entrepreneur  initiatives</t>
  </si>
  <si>
    <t>Construction of double pit latrines for ECCD ( Cavallera &amp; Bubisa primary school) @ 550,000</t>
  </si>
  <si>
    <t>Support of two ECCD schools with forms &amp; chairs @ shool ksh 250,000</t>
  </si>
  <si>
    <t>Support youth entrepreneur  starups</t>
  </si>
  <si>
    <t>Construction of double pit latrines at Shurr ECCD ( Ksh 700,000) &amp; purchase of chairs &amp; forms for ECCD ( Ksh 300,000)</t>
  </si>
  <si>
    <t>Culture &amp; Social Services</t>
  </si>
  <si>
    <t>Establishment of Turbi Baraza park</t>
  </si>
  <si>
    <t>GRAND TOTAL - TURBI WARD</t>
  </si>
  <si>
    <t>WARD NAME: KARARE</t>
  </si>
  <si>
    <t>SUB COUNTY NAME: SAKU</t>
  </si>
  <si>
    <t>Health Centre at Karare</t>
  </si>
  <si>
    <t>Karare</t>
  </si>
  <si>
    <t>Equiping Hula hula Maternity  hall with Furniture</t>
  </si>
  <si>
    <t>Hula Hula</t>
  </si>
  <si>
    <t>Fencing of parkishon dispensary</t>
  </si>
  <si>
    <t>Equiping of songa health centre labaratory</t>
  </si>
  <si>
    <t>Songa</t>
  </si>
  <si>
    <t>Staff house at leiyai dispensary</t>
  </si>
  <si>
    <t>Equiping Kituruni Maternity</t>
  </si>
  <si>
    <t>Nong'orio Water Pan</t>
  </si>
  <si>
    <t>Lkuume Water Tank (Concrate)</t>
  </si>
  <si>
    <t>Town piping system and water tank</t>
  </si>
  <si>
    <t>46 Tanks for Hula hula each 10,000 liters</t>
  </si>
  <si>
    <t>Undergroung water tank at parkishon dispensary</t>
  </si>
  <si>
    <t>10 Water tanks at Parkishon</t>
  </si>
  <si>
    <t>Repair and renovation of songa sirata water pipeline</t>
  </si>
  <si>
    <t>Repair of leyai water source</t>
  </si>
  <si>
    <t>Kituruni water pipeline repair</t>
  </si>
  <si>
    <t>Lpus -Kituruni road improvementat Loisugi(Putting Slab)</t>
  </si>
  <si>
    <t>Furnishing Hula Hula Dining Hall</t>
  </si>
  <si>
    <t xml:space="preserve">Building and equiping ECD Class Karatina </t>
  </si>
  <si>
    <t>Construction of ECD Classroom &amp; equipping  at Leiyai primary</t>
  </si>
  <si>
    <t xml:space="preserve">Construction of Social Hall at Karatina </t>
  </si>
  <si>
    <t>Energy &amp; Lands</t>
  </si>
  <si>
    <t>Survey and demarcations of land-karare location</t>
  </si>
  <si>
    <t>GRAND TOTAL - KARARE WARD</t>
  </si>
  <si>
    <t>WARD NAME: MARSABIT CENTRAL</t>
  </si>
  <si>
    <t>Staff houses,Equipments,fencing</t>
  </si>
  <si>
    <t>Marsabit Central</t>
  </si>
  <si>
    <t>Dakabaricha</t>
  </si>
  <si>
    <t>Maternity wing at Milima Mitatu</t>
  </si>
  <si>
    <t>Jirime</t>
  </si>
  <si>
    <t>Undergroung water tank at Nagayo near Gotu Gardhi</t>
  </si>
  <si>
    <t>Nagayo</t>
  </si>
  <si>
    <t>Renovation of Ginda Dam/Fencing/Training committee</t>
  </si>
  <si>
    <t>Water Kiosk and pipe at Nyayo road</t>
  </si>
  <si>
    <t>Water Pipeline from Majengo to Nyayo rd</t>
  </si>
  <si>
    <t>plastic water tanks 1500 lts for community</t>
  </si>
  <si>
    <t>Mountain</t>
  </si>
  <si>
    <t>Tree nurseries at chiefs compound Uhuru gardens</t>
  </si>
  <si>
    <t>Water tank for social hall at Chiefs office</t>
  </si>
  <si>
    <t>Water tanks 5000 litres,349 pcs for jirime</t>
  </si>
  <si>
    <t>Construction of 50 meter squared tank and trough at shegel</t>
  </si>
  <si>
    <t>Jillo Tune Water pan,polythene to reduce seapage</t>
  </si>
  <si>
    <t>Road improvemt from main road to wind master</t>
  </si>
  <si>
    <t>Wario Jaba-Mjillo-Jattani Korbes including calabats where necessary</t>
  </si>
  <si>
    <t>500 meter road from old town thru Hawo Abdi Dofa to PCEA church</t>
  </si>
  <si>
    <t>Box Calvert at chiefs office at junction of Elisha Godana/Dakabaricha</t>
  </si>
  <si>
    <t>Buying land for ECD class at nyayo rd</t>
  </si>
  <si>
    <t>ECD at Sakuu Pry School</t>
  </si>
  <si>
    <t>Equipments for puncture repair for youth</t>
  </si>
  <si>
    <t>Social Hall fencing,furniture and water tank</t>
  </si>
  <si>
    <t>Equiping of Social Hall</t>
  </si>
  <si>
    <t>Energy, lands &amp; Urban Development</t>
  </si>
  <si>
    <t>Street ligths at Tisa,Nyayo rd and willy village</t>
  </si>
  <si>
    <t>Security lights</t>
  </si>
  <si>
    <t>Street lights from old town to chiefs office</t>
  </si>
  <si>
    <t>GRAND TOTAL - MARSABIT CENTRAL WARD</t>
  </si>
  <si>
    <t>WARD NAME: SAGANTE</t>
  </si>
  <si>
    <t>Maternity ward at Gorro Rhukesa</t>
  </si>
  <si>
    <t>Sagante/Jaldesa</t>
  </si>
  <si>
    <t>Sagante</t>
  </si>
  <si>
    <t>Staff house of three bedrooms at manyatta Jillo health centre</t>
  </si>
  <si>
    <t>Qilta</t>
  </si>
  <si>
    <t>Jaldesa</t>
  </si>
  <si>
    <t>64 Plastic tanks of 5000 lts for Qachacha community@70,000 each</t>
  </si>
  <si>
    <t>Dirib Gombo</t>
  </si>
  <si>
    <t>Disilting  Haro Choba</t>
  </si>
  <si>
    <t>Buying plastic tanks for Athi Huka 5000 lts</t>
  </si>
  <si>
    <t>Store and roof water connection to water tank at manyatta jillo</t>
  </si>
  <si>
    <t>10 plastic tanks at Dogogicha</t>
  </si>
  <si>
    <t>Jaldesa Horehole fencing</t>
  </si>
  <si>
    <t>Road from guyo churre to guyo tendeke in sagante</t>
  </si>
  <si>
    <t>Road from llmar duresa to boru haro in Gorro rhukesa</t>
  </si>
  <si>
    <t>Road from badasa junction to Dirib centre to Jaldesa borehole</t>
  </si>
  <si>
    <t>Road from Halkano Gura to Haro Girsanew road</t>
  </si>
  <si>
    <t>Road from Dub Gindole to Badassa</t>
  </si>
  <si>
    <t>Main road from sidama village to chororo village</t>
  </si>
  <si>
    <t>ECD class at Kubbi Qallo</t>
  </si>
  <si>
    <t>ECD Class st Boru Haro pry</t>
  </si>
  <si>
    <t>ECD Class at Qachacha Pry School</t>
  </si>
  <si>
    <t>ECD Class at Hekima pry</t>
  </si>
  <si>
    <t>ECD at Gar Qarsa pry school</t>
  </si>
  <si>
    <t xml:space="preserve"> Culture &amp; Social Services</t>
  </si>
  <si>
    <t>Social Hall at Gorro Rhukesa</t>
  </si>
  <si>
    <t>Social Hall at Sagante-Dubgoba</t>
  </si>
  <si>
    <t>Energy &amp; Urban Development</t>
  </si>
  <si>
    <t xml:space="preserve"> 3 Tranformers to be intalled at Kubi Dayu Athi Huqa and Haro Huqa</t>
  </si>
  <si>
    <t>sagante/jaldesa</t>
  </si>
  <si>
    <t>Installation of 6(six) transormers at waqo Bupi,Ilman Charfi,Tari Adhi,Choror vilage,Dub gindole and Isaacko Umuro</t>
  </si>
  <si>
    <t>GRAND TOTAL - SAGANTE WARD</t>
  </si>
  <si>
    <t>SUB COUNTY NAME: MOYALE  WARD: OBBU</t>
  </si>
  <si>
    <t>SUB COUNTY NAME: MOYALE -----WARD:--------SOLOLO--------------------------------------------------------------</t>
  </si>
  <si>
    <t>SUB COUNTY NAME: MOYALE. WARD:  HEILU/MANYATTA</t>
  </si>
  <si>
    <t>Administration &amp; ICT</t>
  </si>
  <si>
    <t xml:space="preserve">Piping from Odda to Qalaliwe to Gimbe to Walmur and water tanks at Qalaliwe and Gimbe </t>
  </si>
  <si>
    <t>Construction and equipping of social hall at Odda</t>
  </si>
  <si>
    <t>ADMINISTRATION &amp; ICT</t>
  </si>
  <si>
    <t>Water,Environment &amp; Natural Resourse</t>
  </si>
  <si>
    <t>WARD NAME: LOGOLOGO</t>
  </si>
  <si>
    <t>Kargi field improvement</t>
  </si>
  <si>
    <t>South Horr field improvement</t>
  </si>
  <si>
    <t>Block making machine-Kargi youth</t>
  </si>
  <si>
    <t>ECD  Serichoi furniture</t>
  </si>
  <si>
    <t>Fencing jija  ECD</t>
  </si>
  <si>
    <t>Block making –South Horr youth</t>
  </si>
  <si>
    <t>Laboratory Korrole Boys</t>
  </si>
  <si>
    <t>Toilet and bathrooms Korole Boys</t>
  </si>
  <si>
    <t>Fencing  Arge primary and ECD</t>
  </si>
  <si>
    <t>Kargi/south Horr</t>
  </si>
  <si>
    <t>Kargi</t>
  </si>
  <si>
    <t>South Horr</t>
  </si>
  <si>
    <t>Arge</t>
  </si>
  <si>
    <t>Fencing  Kargi health centre</t>
  </si>
  <si>
    <t>Staff house at Arge dispensary</t>
  </si>
  <si>
    <t>Staff house at Kurungu dispensary</t>
  </si>
  <si>
    <t>Staff house Kurkum dispensary</t>
  </si>
  <si>
    <t>Kurungu</t>
  </si>
  <si>
    <t>Kurkum</t>
  </si>
  <si>
    <t>Kargi/south Hor</t>
  </si>
  <si>
    <t>Bagasi</t>
  </si>
  <si>
    <t>Office furniture-Ward office</t>
  </si>
  <si>
    <t>Piping to korolle boys</t>
  </si>
  <si>
    <t>Yeel borehole</t>
  </si>
  <si>
    <t>water supply Arge</t>
  </si>
  <si>
    <t>piping to Kargi  manyattas</t>
  </si>
  <si>
    <t>Bagasi water pan</t>
  </si>
  <si>
    <t>Kurkum Water pan</t>
  </si>
  <si>
    <r>
      <t>2</t>
    </r>
    <r>
      <rPr>
        <sz val="9"/>
        <color indexed="8"/>
        <rFont val="Calibri"/>
        <family val="2"/>
      </rPr>
      <t xml:space="preserve"> staff houses at Kargi health centre</t>
    </r>
  </si>
  <si>
    <t>Field improvement-Korr</t>
  </si>
  <si>
    <t>Dormitory  Ballah school</t>
  </si>
  <si>
    <t>Dormitory nomadic school</t>
  </si>
  <si>
    <t>ECD  centre manyatta Lengima</t>
  </si>
  <si>
    <t xml:space="preserve">Ngurnit  ECD furniture </t>
  </si>
  <si>
    <t>Brick machine for youth</t>
  </si>
  <si>
    <t>Amalio  ECD</t>
  </si>
  <si>
    <t>Korr/Ngurnit</t>
  </si>
  <si>
    <t>Ballah</t>
  </si>
  <si>
    <t>Manyatta lengima</t>
  </si>
  <si>
    <t>Ngurnit</t>
  </si>
  <si>
    <t>Staff houses  at Korr health centre</t>
  </si>
  <si>
    <t>Fridge and incinerator korr h c</t>
  </si>
  <si>
    <t>Ilaut dispensary solar and fridge</t>
  </si>
  <si>
    <t>Fencing  Ilaut health centre</t>
  </si>
  <si>
    <t>Fencing Ballah health centre</t>
  </si>
  <si>
    <t>Maternity Ngurnit dispensary</t>
  </si>
  <si>
    <t>Staff house Mpagas dispensary</t>
  </si>
  <si>
    <t>Fencing Buaramis health centre</t>
  </si>
  <si>
    <t>Ilaut</t>
  </si>
  <si>
    <t>Mpagas</t>
  </si>
  <si>
    <t>Buraramia</t>
  </si>
  <si>
    <t xml:space="preserve">ABT equiping </t>
  </si>
  <si>
    <t>Rongumo water pan</t>
  </si>
  <si>
    <t>Ilaut water rock catchment</t>
  </si>
  <si>
    <t>Hafare villages water pan</t>
  </si>
  <si>
    <t>Ilmoti rock catchment</t>
  </si>
  <si>
    <t>Narewa and kilapunyo rock catchment</t>
  </si>
  <si>
    <t>Burramia</t>
  </si>
  <si>
    <t>Hafare</t>
  </si>
  <si>
    <t>lmoti</t>
  </si>
  <si>
    <t>Rendille cultural museum</t>
  </si>
  <si>
    <t xml:space="preserve">GRAND TOTAL - LAISAMIS SUB COUNTY </t>
  </si>
  <si>
    <t xml:space="preserve">SUB COUNTY NAME: LAISAMIS SUB COUNTY </t>
  </si>
  <si>
    <t>LAQ Dima  dispensary fencing</t>
  </si>
  <si>
    <t>North Horr</t>
  </si>
  <si>
    <t>Barambate</t>
  </si>
  <si>
    <t>Gorqa</t>
  </si>
  <si>
    <t>Malabot</t>
  </si>
  <si>
    <t>Elisako</t>
  </si>
  <si>
    <t>North Horr pry</t>
  </si>
  <si>
    <t>Chalbi Musli</t>
  </si>
  <si>
    <t>Helmer</t>
  </si>
  <si>
    <t>ECD Store and kitchen</t>
  </si>
  <si>
    <t>ECD store and kitchen</t>
  </si>
  <si>
    <t>ECD  store and kitchen</t>
  </si>
  <si>
    <t>ECD classroom</t>
  </si>
  <si>
    <t>ECD  classroom</t>
  </si>
  <si>
    <t xml:space="preserve"> Youth empowerment centre equipping</t>
  </si>
  <si>
    <t>Youth empowerment sport facility</t>
  </si>
  <si>
    <t>Piping of water, construction of masonry tank and  construction of water kiosk</t>
  </si>
  <si>
    <t>piping and construction of water kiosk</t>
  </si>
  <si>
    <t>Digging of shallow well &amp; purchase of hand pump and tank</t>
  </si>
  <si>
    <t>Rehabilitation of Hori Gudha</t>
  </si>
  <si>
    <t>women empowerment tree planting</t>
  </si>
  <si>
    <t>Constructions of slaughter house</t>
  </si>
  <si>
    <t>Qorka</t>
  </si>
  <si>
    <t>Elbesso</t>
  </si>
  <si>
    <t>Construction of fish pondo</t>
  </si>
  <si>
    <t>WARD NAME:   NORTH HORR WARD</t>
  </si>
  <si>
    <t>SUB COUNTY NAME: NORTH HORR SUB COUNT</t>
  </si>
  <si>
    <t>Dispensary equipments</t>
  </si>
  <si>
    <t>Staff house extensions</t>
  </si>
  <si>
    <t>Hurri hills</t>
  </si>
  <si>
    <t>Kalacha</t>
  </si>
  <si>
    <t>Kulume - Tinani road</t>
  </si>
  <si>
    <t>Improvement on  Malabot -Chariashe road</t>
  </si>
  <si>
    <t>Darade</t>
  </si>
  <si>
    <t xml:space="preserve">Barak Park / stadium </t>
  </si>
  <si>
    <t>WARD NAME: MAIKONA</t>
  </si>
  <si>
    <t>SUB COUNTY NAME: NORTH HORR.</t>
  </si>
  <si>
    <t xml:space="preserve">GRAND TOTAL - NORTH HORR  SUB COUNTY </t>
  </si>
  <si>
    <t xml:space="preserve">SUB COUNTY NAME: NORTH HORR  SUB COUNTY </t>
  </si>
  <si>
    <t xml:space="preserve">SUB COUNTY NAME: SAKU SUB COUNTY </t>
  </si>
  <si>
    <t xml:space="preserve">SUB COUNTY NAME: MOYALE  SUB COUNTY </t>
  </si>
  <si>
    <t xml:space="preserve">GRAND TOTAL - MOYALE SUB COUNTY </t>
  </si>
  <si>
    <t xml:space="preserve">GRAND TOTAL - SAKU  SUB COUNTY </t>
  </si>
  <si>
    <t xml:space="preserve">Moyale Sub County </t>
  </si>
  <si>
    <t xml:space="preserve">Laisamis sub County </t>
  </si>
  <si>
    <t xml:space="preserve">North Horr Sub County </t>
  </si>
  <si>
    <t xml:space="preserve">Laisamis Sub County </t>
  </si>
  <si>
    <t>Moyale Sub County</t>
  </si>
  <si>
    <t xml:space="preserve">Saku Sub County </t>
  </si>
  <si>
    <t>North Horr Sub County</t>
  </si>
  <si>
    <t>Saku Sub County</t>
  </si>
  <si>
    <t>Laisamis Sub County</t>
  </si>
  <si>
    <t>3464: DEPARTMENT OF AGRICULTURE, LIVESTOCK &amp; FISHERIES</t>
  </si>
  <si>
    <t xml:space="preserve"> TOTAL - AGRICULTURE, LIVESTOCK &amp; FISHERIES</t>
  </si>
  <si>
    <t xml:space="preserve">Purchase of certified seeds </t>
  </si>
  <si>
    <t>Purchase of breeding stocks</t>
  </si>
  <si>
    <t>Departmental Priorities</t>
  </si>
  <si>
    <t>3466: EDUCATION AND YOUTH AFFAIRS</t>
  </si>
  <si>
    <t>TOTAL - CPSB</t>
  </si>
  <si>
    <t>Monitoring and Quality Assessment</t>
  </si>
  <si>
    <t>TOTAL - COUNTY HEALTH SERVICES</t>
  </si>
  <si>
    <t>TOTAL - ADMINISTRATION AND ICT</t>
  </si>
  <si>
    <t>Moyale</t>
  </si>
  <si>
    <t>TOTAL - PHYSICAL PLANNING AND DEVELOPMENT</t>
  </si>
  <si>
    <t>Civic Education and Public Participation</t>
  </si>
  <si>
    <t>TOTAL - PUBLIC WORKS</t>
  </si>
  <si>
    <t>3471 - WATER SERVICES</t>
  </si>
  <si>
    <t>TOTAL -  WATER SERVICES</t>
  </si>
  <si>
    <t>TOTAL -  TRADE &amp; INDUSTRY</t>
  </si>
  <si>
    <t>3472: TRADE &amp; INDUSTRY</t>
  </si>
  <si>
    <t>VOTE D3460 - MARSABIT COUNTY</t>
  </si>
  <si>
    <t>PROJECT</t>
  </si>
  <si>
    <t xml:space="preserve">3462: COUNTY EXECUTIVE SERVICES </t>
  </si>
  <si>
    <t>TOTAL - CULTURE AND SOCIAL SERVICES</t>
  </si>
  <si>
    <t>3469: PHYSICAL PLANNING AND DEVELOPMENT</t>
  </si>
  <si>
    <t>TOTAL - FINANCE AND ECONOMIC PLANNING</t>
  </si>
  <si>
    <t>S/NO</t>
  </si>
  <si>
    <t>TOTAL - EDUCATION AND YOUTH AFFAIRS</t>
  </si>
  <si>
    <t>3467: COUNTY HEALTH SERVICES</t>
  </si>
  <si>
    <t>TOTAL VOTED ESTIMATE - DEVELOPMENT</t>
  </si>
  <si>
    <t>TITLE</t>
  </si>
  <si>
    <t>ITEM</t>
  </si>
  <si>
    <t>Basic Salaries - Permanent Employees</t>
  </si>
  <si>
    <t>Basic Salaries -</t>
  </si>
  <si>
    <t>Basic Wages - Temporary Employees</t>
  </si>
  <si>
    <t>Causal Labour - Others</t>
  </si>
  <si>
    <t>Personal Allowance - Paid as part of salary</t>
  </si>
  <si>
    <t>House Allowance</t>
  </si>
  <si>
    <t>Honoraria</t>
  </si>
  <si>
    <t>Acting Allowance</t>
  </si>
  <si>
    <t>TransportAllowance</t>
  </si>
  <si>
    <t>Leave Allowance</t>
  </si>
  <si>
    <t>Administrative Allowance</t>
  </si>
  <si>
    <t>Risk Allowance</t>
  </si>
  <si>
    <t>Management Support Allowance</t>
  </si>
  <si>
    <t>Employer Contributions to Compulsory National Social Security Schemes</t>
  </si>
  <si>
    <t>Employer Contributions to Compulsory National Social Security Fund</t>
  </si>
  <si>
    <t>Employer Contribution to Staff &amp; Members Pension Scheme</t>
  </si>
  <si>
    <t>Utilities Supplies and Services</t>
  </si>
  <si>
    <t>Electricity</t>
  </si>
  <si>
    <t>Water and Sewerage Charges</t>
  </si>
  <si>
    <t>Utilities Supplies - Other</t>
  </si>
  <si>
    <t>Communication, Supplies, and Services</t>
  </si>
  <si>
    <t>Telephone, Telex, Facsimile and Mobile Phone Services</t>
  </si>
  <si>
    <t>Internet Connections</t>
  </si>
  <si>
    <t>Licencing Fees for Communication</t>
  </si>
  <si>
    <t>Domestic Travel and Subsistence and other transport Costs</t>
  </si>
  <si>
    <t>Travel Costs (airlines, bus, railway, mileage allowances, etc)</t>
  </si>
  <si>
    <t>Accomodations</t>
  </si>
  <si>
    <t>Daily subsisistence and allowances</t>
  </si>
  <si>
    <t>ForeignTravel and Subsistence and other transport Costs</t>
  </si>
  <si>
    <t>Sundry items (e.g Airport tax, Taxis services etc)</t>
  </si>
  <si>
    <t>Printing, Advertising and Information Supplies and Services</t>
  </si>
  <si>
    <t>Printing and Publishing Services</t>
  </si>
  <si>
    <t xml:space="preserve">Subscriptions to Newspapers, Magazines and Periodicals </t>
  </si>
  <si>
    <t>Advertising, Awareness and Publicity Campaigns</t>
  </si>
  <si>
    <t>Trade Shows and Exhibitions</t>
  </si>
  <si>
    <t>Printing, Advertising - Other</t>
  </si>
  <si>
    <t>Rentals of Approved Assests</t>
  </si>
  <si>
    <t>Payment of Rents and Rates - Residential</t>
  </si>
  <si>
    <t>Rents and Rates - Non-Residential</t>
  </si>
  <si>
    <t>Hire for Transport</t>
  </si>
  <si>
    <t>Training Expenses</t>
  </si>
  <si>
    <t>Travel Allowance</t>
  </si>
  <si>
    <t>Remuneration of Instructors</t>
  </si>
  <si>
    <t>Production of training Materials</t>
  </si>
  <si>
    <t>Hire of Training Facilities</t>
  </si>
  <si>
    <t>Staff Training/Accomodation</t>
  </si>
  <si>
    <t>Tution Fee Allowance</t>
  </si>
  <si>
    <t>Physical Fitness and Aptitude Assesment and Training</t>
  </si>
  <si>
    <t>Human Resource Reforms</t>
  </si>
  <si>
    <t>Trainig Expenses</t>
  </si>
  <si>
    <t>Hospitality Supplies and Services</t>
  </si>
  <si>
    <t>Catering Services(receptions), Accomodation, Gifts, Food and Drinks</t>
  </si>
  <si>
    <t>Boards, Commettees, Conferences, and Seminars</t>
  </si>
  <si>
    <t>Insurance Costs</t>
  </si>
  <si>
    <t>Group Personal Insurance</t>
  </si>
  <si>
    <t>Buildings Insurance</t>
  </si>
  <si>
    <t>Motor Vehicle Insurance</t>
  </si>
  <si>
    <t>Medical Insurance</t>
  </si>
  <si>
    <t>Specialised Materials and Supplies</t>
  </si>
  <si>
    <t>Medical Drugs</t>
  </si>
  <si>
    <t>Verterenian Supplies Materials</t>
  </si>
  <si>
    <t>Fungicides,Insecticides and Sprays</t>
  </si>
  <si>
    <t>Purchase of Workshop Tools, Spares and Small Equipment</t>
  </si>
  <si>
    <t>Agicultural Materials</t>
  </si>
  <si>
    <t>Food and Rations</t>
  </si>
  <si>
    <t>Purchase of Uniforms, and Clothing - Staff</t>
  </si>
  <si>
    <t>Supplies for Production</t>
  </si>
  <si>
    <t>Purchase ofVaccines and Sera</t>
  </si>
  <si>
    <t>Office and General Supplies and Services</t>
  </si>
  <si>
    <t xml:space="preserve"> General office suplies </t>
  </si>
  <si>
    <t>Supplies and Accessories for Computers and printers</t>
  </si>
  <si>
    <t>Sanitary and Cleaning Materials, Supplies and Services</t>
  </si>
  <si>
    <t>Fuel, Oil and Lubricants</t>
  </si>
  <si>
    <t>Refined Fuels and Lubricants for Transport</t>
  </si>
  <si>
    <t>Refined Fuels and Lubricants – other</t>
  </si>
  <si>
    <t>Other Operating Expenses</t>
  </si>
  <si>
    <t>Bank Service Commission and Charges</t>
  </si>
  <si>
    <t>Medical expenses</t>
  </si>
  <si>
    <t xml:space="preserve">Legal Dues/Fees, Arbitration and Compensation Payments </t>
  </si>
  <si>
    <t>Management Fees</t>
  </si>
  <si>
    <t>Contracted Proffessional Services</t>
  </si>
  <si>
    <t>Contracted Technical Services</t>
  </si>
  <si>
    <t>-</t>
  </si>
  <si>
    <t>Security Operations</t>
  </si>
  <si>
    <t>Write Offs/Bad debt Expenses from PreviousYears</t>
  </si>
  <si>
    <t>HIV/AIDS Secretariat WorkplacePolicy Development</t>
  </si>
  <si>
    <t>Other Operating Expenses (Ward Offices)</t>
  </si>
  <si>
    <t>Routine Maintenance - Vehicles and Other Transport Equipments</t>
  </si>
  <si>
    <t>Maintenance Expences - Motor Vehicles</t>
  </si>
  <si>
    <t>Routine Maintenance - Other Assets</t>
  </si>
  <si>
    <t>Maintenance of Plant, Machinery and equipment</t>
  </si>
  <si>
    <t>Maintenance of Buildings and Stations - Non-Residential</t>
  </si>
  <si>
    <t>Maintenance of Civil Works</t>
  </si>
  <si>
    <t>Maintenance of Roads, Ports and Jetties</t>
  </si>
  <si>
    <t>Maintenance of Computers, software, and Networks</t>
  </si>
  <si>
    <t>Maintenance of Office Furniture and Equipment</t>
  </si>
  <si>
    <t>Membership Fees and Dues and Subscriptions to International Organization</t>
  </si>
  <si>
    <t>Supreme Sports Council of Africa</t>
  </si>
  <si>
    <t>Scholarships and Other Educational Benefits</t>
  </si>
  <si>
    <t>Scholarships and Other Educational Benefits - Pre Primary Education</t>
  </si>
  <si>
    <t>Emergency Relief and Refugee Assistance</t>
  </si>
  <si>
    <t>Emergency Relief and Ref. – oth</t>
  </si>
  <si>
    <t>Civil Contingency Reserves</t>
  </si>
  <si>
    <t>Emergency Fund</t>
  </si>
  <si>
    <t>Refurbishment of Buildings</t>
  </si>
  <si>
    <t>Refurbishment of Resident Bulidings</t>
  </si>
  <si>
    <t>Refurbishment of Non-Residential Buildings</t>
  </si>
  <si>
    <t>Government Pension and Retirement benefits</t>
  </si>
  <si>
    <t>Gratuity - Civil Servants &amp;State Officer</t>
  </si>
  <si>
    <t>Purchase of Vehicles and Other Transport Equipment</t>
  </si>
  <si>
    <t>Purchase of Motor Vehicles</t>
  </si>
  <si>
    <t>Purchase of Office Furniture and General Equipment</t>
  </si>
  <si>
    <t>Purchase of Office Furniture and Fittings</t>
  </si>
  <si>
    <t>Purchase of Computres,Printers and other IT Equipment</t>
  </si>
  <si>
    <t>Purchase of Breeding Stock</t>
  </si>
  <si>
    <t>Purchase of Tree seeds and Seedlings</t>
  </si>
  <si>
    <t>Pre-feasibility, Feasibility and Appraisal Studies</t>
  </si>
  <si>
    <t xml:space="preserve">Research </t>
  </si>
  <si>
    <t xml:space="preserve">Research, Feasibility Studies </t>
  </si>
  <si>
    <t>Car loan and mortgage</t>
  </si>
  <si>
    <t>Research, Feasibility Studies, Project and Preparation and Design, Projects</t>
  </si>
  <si>
    <t>VOTE 3460 Marsabit County</t>
  </si>
  <si>
    <t>Heads and Items under which this vote will be accounted for by County Executive Services</t>
  </si>
  <si>
    <t>0001</t>
  </si>
  <si>
    <t>01</t>
  </si>
  <si>
    <t>Hardship Allowance</t>
  </si>
  <si>
    <t>NHIF</t>
  </si>
  <si>
    <t>Employer Contribution to Staff Pension Scheme</t>
  </si>
  <si>
    <t>Foreign Travel and Subsistence and other transport Costs</t>
  </si>
  <si>
    <t>Accommodations</t>
  </si>
  <si>
    <t>Daily subsistence and allowances</t>
  </si>
  <si>
    <t>Sundry items ( e.g airport tax, Taxis etec)</t>
  </si>
  <si>
    <t>Boards, Committees, Conferences, and Seminars</t>
  </si>
  <si>
    <t>Veterinarian Supplies Materials</t>
  </si>
  <si>
    <t>Agricultural Materials</t>
  </si>
  <si>
    <t>Purchase of Vaccines and Sera</t>
  </si>
  <si>
    <t>General office Supplies</t>
  </si>
  <si>
    <t>Refined Fuels and Lubricants - other</t>
  </si>
  <si>
    <t>Contracted Professional Services</t>
  </si>
  <si>
    <t>Maintenance Expenses - Motor Vehicles</t>
  </si>
  <si>
    <t>Emergency Relief and Ref. - oth</t>
  </si>
  <si>
    <t>Gratuity - Civil Servants</t>
  </si>
  <si>
    <t>Purchase of Fire Extinguishers</t>
  </si>
  <si>
    <t>Purchase of Certified Seeds,Breeding Stock and Live Animals</t>
  </si>
  <si>
    <t>Inter/Intra Governmental Relations</t>
  </si>
  <si>
    <t>TOTAL RECURRENT EXPENDITURE FOR SUB  HEAD 001</t>
  </si>
  <si>
    <t xml:space="preserve">Basic Salaries </t>
  </si>
  <si>
    <t>Special Allowance</t>
  </si>
  <si>
    <t>Health Risk allowance</t>
  </si>
  <si>
    <t>Leave allowance</t>
  </si>
  <si>
    <t>Transport Allowance</t>
  </si>
  <si>
    <t>Causal Labor - Others</t>
  </si>
  <si>
    <t>Courier and postal services</t>
  </si>
  <si>
    <t>Allowances - Vaccination of Livestock</t>
  </si>
  <si>
    <t>Rentals of Approved Assets</t>
  </si>
  <si>
    <t xml:space="preserve">Training Expenses </t>
  </si>
  <si>
    <t>Travel allowance</t>
  </si>
  <si>
    <t>Accommodations allowance</t>
  </si>
  <si>
    <t>Training Expenses ( Farmers &amp; pastoralist Inclusive)</t>
  </si>
  <si>
    <t>Catering Services(receptions), Accommodation, Gifts, Food and Drinks</t>
  </si>
  <si>
    <t>Insurance costs</t>
  </si>
  <si>
    <t>Specialized Materials and Supplies</t>
  </si>
  <si>
    <t>Fungicides, Insecticides and Sprays</t>
  </si>
  <si>
    <t>Refined Fuels and Lubricants - other (Tractors, Generators, Motor boat and Pumps)</t>
  </si>
  <si>
    <t>Routine Maintenance - Vehicles and Other Transport Equipment</t>
  </si>
  <si>
    <t>Purchase of Computers ,Printers and other IT Equipment</t>
  </si>
  <si>
    <t>Purchase of Educational Aids and related equipment</t>
  </si>
  <si>
    <t>Purchase of Certified Seeds, Breeding Stock and Live Animals</t>
  </si>
  <si>
    <t>Heads and Items under which this vote will be accounted for by the County Public Service Board</t>
  </si>
  <si>
    <t>FY 2016/2017</t>
  </si>
  <si>
    <t xml:space="preserve">Basic  Salaries </t>
  </si>
  <si>
    <t xml:space="preserve"> Basic  Salaries </t>
  </si>
  <si>
    <t>Staff Training/Accommodation</t>
  </si>
  <si>
    <t>Purchase of Computers, Printers and other IT Equipment</t>
  </si>
  <si>
    <t>Printing ,Advertisement- other</t>
  </si>
  <si>
    <t>Travel Allowances</t>
  </si>
  <si>
    <t>Production of Training Materials</t>
  </si>
  <si>
    <t>Staff  Training/Acommodation</t>
  </si>
  <si>
    <t>Tution Fee Allocation</t>
  </si>
  <si>
    <t>Laboratory reagents</t>
  </si>
  <si>
    <t>Fungicides,Insects sides</t>
  </si>
  <si>
    <t>Purchase of Workshop,Tools,spare parts</t>
  </si>
  <si>
    <t>Refined Fuels and Lubricants-other</t>
  </si>
  <si>
    <t>Bank commission charges</t>
  </si>
  <si>
    <t>Contracted proffessional services</t>
  </si>
  <si>
    <t>Write Offs/Bad debt Expenses from  pre yrs</t>
  </si>
  <si>
    <t>HIV/AIDS workshop</t>
  </si>
  <si>
    <t>Maintenance of civil works</t>
  </si>
  <si>
    <t>Maintenance of Office Furniture and equp</t>
  </si>
  <si>
    <t>Emergency Fund/Contingency</t>
  </si>
  <si>
    <t>Refurbrishment of buildings</t>
  </si>
  <si>
    <t>Refurbrishment of non residential buildings</t>
  </si>
  <si>
    <t>Purchase of vehicles and other trans equips</t>
  </si>
  <si>
    <t>Purchase of motor vehicle</t>
  </si>
  <si>
    <t>Purchase of office furniture</t>
  </si>
  <si>
    <t>Purchase of office furniture and fittings</t>
  </si>
  <si>
    <t>Purchase of computers,printers and IT materials</t>
  </si>
  <si>
    <t>CA - Maternal Health Care</t>
  </si>
  <si>
    <t>CA - User Fees Foregone</t>
  </si>
  <si>
    <t>CA - Danida</t>
  </si>
  <si>
    <t>CA - World Bank</t>
  </si>
  <si>
    <t>Annual Leave Allowance</t>
  </si>
  <si>
    <t>Foreign Travel</t>
  </si>
  <si>
    <t>Sundry Items(e.g airport tax,taxis etc)</t>
  </si>
  <si>
    <t>Printing, Advertising – Other</t>
  </si>
  <si>
    <t>Payments of rents and rates-residential</t>
  </si>
  <si>
    <t>Travel allowances</t>
  </si>
  <si>
    <t>Renumeration of instructors</t>
  </si>
  <si>
    <t>Production of training materials</t>
  </si>
  <si>
    <t>Hire of training facilities</t>
  </si>
  <si>
    <t>Staff training/accomodation</t>
  </si>
  <si>
    <t>Tuition fee allowance</t>
  </si>
  <si>
    <t>physical fitness and aptitude assessment and training</t>
  </si>
  <si>
    <t>Human resource reforms</t>
  </si>
  <si>
    <t>Medical drugs</t>
  </si>
  <si>
    <t>Veterinary Supplies materials</t>
  </si>
  <si>
    <t>Fungicides,insecticides and sprays</t>
  </si>
  <si>
    <t>Agricultural materials</t>
  </si>
  <si>
    <t>Food and rations</t>
  </si>
  <si>
    <t>Purchase of Uniforms, and Clothing – Staff</t>
  </si>
  <si>
    <t>Supplies for production</t>
  </si>
  <si>
    <t>Purchase of vaccines and syrups</t>
  </si>
  <si>
    <t>Refined fuels and Lubricants -others</t>
  </si>
  <si>
    <t>Medical expense</t>
  </si>
  <si>
    <t>Legal dues/fees/artibrationa and compensation payments</t>
  </si>
  <si>
    <t>Management fees</t>
  </si>
  <si>
    <t>Write-off debts expenses from previous years</t>
  </si>
  <si>
    <t>HIV/AIDS Secretariat workplace policy development</t>
  </si>
  <si>
    <t>Maintenance of building and stations-Non residential</t>
  </si>
  <si>
    <t>Maintenance of roads,ports and jetties</t>
  </si>
  <si>
    <t>Purchase of Motor Vehicles -Motor bikes</t>
  </si>
  <si>
    <t>Rehabilitation of Civil Works</t>
  </si>
  <si>
    <t xml:space="preserve">Water supplies and Sewerage </t>
  </si>
  <si>
    <t>Car Hire</t>
  </si>
  <si>
    <t>Refurbishment of Residential Buildings</t>
  </si>
  <si>
    <t>Utilities Supplies - Other(Chlorine/Alum)</t>
  </si>
  <si>
    <t>Purchase of fire extinguishers</t>
  </si>
  <si>
    <t xml:space="preserve">Purchase of educational aid and related equipments </t>
  </si>
  <si>
    <t>Hardship allowance</t>
  </si>
  <si>
    <t>Purchase of Motor Vehicles -Motor cycles</t>
  </si>
  <si>
    <t>Hardship Allance</t>
  </si>
  <si>
    <t>Purchase of Office and Resturant Furniture and Fittings</t>
  </si>
  <si>
    <t>Heads and Items under which this vote will be accounted for by the County Assembly</t>
  </si>
  <si>
    <t>Heads and Items under which this vote will be accounted for by the Department of Culture and Social Services</t>
  </si>
  <si>
    <t>Heads and Items under which this vote will be accounted for by the Department of Tourism, Trade, Industry and Enterprise Development</t>
  </si>
  <si>
    <t>Heads and Items under which this vote will be accounted for by the Department of Water, Environment and Natural Resources</t>
  </si>
  <si>
    <t>Heads and Items under which this vote will be accounted for by the Department of Roads, Public Works and Transport</t>
  </si>
  <si>
    <t>Heads and Items under which this vote will be accounted for by the Department of Energy, Lands, Housing and Urban Development</t>
  </si>
  <si>
    <t>Heads and Items under which this vote will be accounted for by the Department of Administration, Coordination and ICT</t>
  </si>
  <si>
    <t>Sub Total - Other Recurrent</t>
  </si>
  <si>
    <t>Sub Total - Conditional Allocation</t>
  </si>
  <si>
    <t>Heads and Items under which this vote will be accounted for by the Department of County Health Services</t>
  </si>
  <si>
    <t>Heads and Items under which this vote will be accounted for by the Department of Education, Skills Development, Youth and Sports</t>
  </si>
  <si>
    <t>Heads and Items under which this vote will be accounted for by the Department of Agriculture, Livestock and Fisheries</t>
  </si>
  <si>
    <t>Heads and Items under which this vote will be accounted for by the Department of Finance and Economic Planning</t>
  </si>
  <si>
    <t>Total Other Recurrent</t>
  </si>
  <si>
    <t>CA - Fuel Levy Fund</t>
  </si>
  <si>
    <t>Total CA - Fuel Levy Fund</t>
  </si>
  <si>
    <t>TOTAL VOTED ESTIMATES - RECURRENT</t>
  </si>
  <si>
    <t>COUNTY GOVERNMENT OF MARSABIT</t>
  </si>
  <si>
    <t>SUMMARY OF DEVELOPMENT BREAKDOWN</t>
  </si>
  <si>
    <t>COUNTY ASSEMBLY</t>
  </si>
  <si>
    <t>SP3.1: County Assembly infrastructure development</t>
  </si>
  <si>
    <t>TOTAL</t>
  </si>
  <si>
    <t>COUNTY EXECUTIVE</t>
  </si>
  <si>
    <t>Construction of Buildings - Other</t>
  </si>
  <si>
    <t>FINANCE &amp; ECONOMIC PLANNING</t>
  </si>
  <si>
    <t>Public Participation and Development planning</t>
  </si>
  <si>
    <t>Pro- Poor/Institutional Support Projects</t>
  </si>
  <si>
    <t>AGRICULTURE, LIVESTOCK &amp; FISHERIES</t>
  </si>
  <si>
    <t>SP4.2: Assurance of Fish Safety, Value Addition and Marketing</t>
  </si>
  <si>
    <t>Other infrastructure and civil works</t>
  </si>
  <si>
    <t>Construction of buildings</t>
  </si>
  <si>
    <t>COUNTY PUBLIC SERVICE BOARD</t>
  </si>
  <si>
    <t>EDUCATION, YOUTH AND SPORTS</t>
  </si>
  <si>
    <t>Youth Training and capacity building</t>
  </si>
  <si>
    <t>Ball games and athletics competitions</t>
  </si>
  <si>
    <t>Other infrastructure and civil works including stadium development</t>
  </si>
  <si>
    <t>COUNTY HEALTH SERVICES</t>
  </si>
  <si>
    <t>SP 1.2:  Health Infrastructure Development</t>
  </si>
  <si>
    <t>Purchase of medical and dental equipments</t>
  </si>
  <si>
    <t>Rehabilitations / renovations of buildings</t>
  </si>
  <si>
    <t>ADMINISTRATION AND ICT</t>
  </si>
  <si>
    <t>SP 3.1: Acquisition &amp; Installation of ICT Systems</t>
  </si>
  <si>
    <t>SP 3.2: Capacity Building</t>
  </si>
  <si>
    <t>SP1.1 Administration services</t>
  </si>
  <si>
    <t>ICT infrastructure development</t>
  </si>
  <si>
    <t>ENERGY AND URBAN DEVELOPMENT</t>
  </si>
  <si>
    <t>SP2.1: Town Administration Services</t>
  </si>
  <si>
    <t>SP2.2: Solid Waste Management</t>
  </si>
  <si>
    <t>SP3. 1: Development Planning and Land Reforms</t>
  </si>
  <si>
    <t>SP3.2: Land Information Management</t>
  </si>
  <si>
    <t>SP3.3: Land Survey</t>
  </si>
  <si>
    <t>SP4.1: Alternative Energy Technologies</t>
  </si>
  <si>
    <t>Town Planning, adjudication and survey</t>
  </si>
  <si>
    <t>Construction of roads</t>
  </si>
  <si>
    <t>WATER, ENVIRONMENT &amp; NATURAL RESOURCES</t>
  </si>
  <si>
    <t>Water supplies and Sewarage</t>
  </si>
  <si>
    <t>Other Infrastructure and Civil Works</t>
  </si>
  <si>
    <t>Support to Conservancies</t>
  </si>
  <si>
    <t>TRADE AND INDUSTRY</t>
  </si>
  <si>
    <t>County Enterprise Fund</t>
  </si>
  <si>
    <t>Construction of Buildings</t>
  </si>
  <si>
    <t>Furnishing of Bongole resort</t>
  </si>
  <si>
    <t>Trade shows and exhibitions</t>
  </si>
  <si>
    <t>Social Protection</t>
  </si>
  <si>
    <t>Purchase of farm tractors and implements</t>
  </si>
  <si>
    <t>SP2.1. Lands and Crop Development(extension and capacity building)</t>
  </si>
  <si>
    <t>SP2.2: Food Security Initiatives(Appropriate technologies and Value addition)</t>
  </si>
  <si>
    <t>SP3.4: Livestock Diseases Management and Control</t>
  </si>
  <si>
    <t xml:space="preserve">Construction of buildings </t>
  </si>
  <si>
    <t>SP3.2: Campaigns and awareness</t>
  </si>
  <si>
    <r>
      <t xml:space="preserve">SP3.1: </t>
    </r>
    <r>
      <rPr>
        <sz val="9"/>
        <color indexed="8"/>
        <rFont val="Arial Narrow"/>
        <family val="2"/>
      </rPr>
      <t>Fiscal Policy Formulation and Management</t>
    </r>
  </si>
  <si>
    <r>
      <t xml:space="preserve">SP3.2: </t>
    </r>
    <r>
      <rPr>
        <sz val="9"/>
        <color indexed="8"/>
        <rFont val="Arial Narrow"/>
        <family val="2"/>
      </rPr>
      <t>Integrated Development Planning</t>
    </r>
  </si>
  <si>
    <r>
      <t xml:space="preserve">SP3.3: </t>
    </r>
    <r>
      <rPr>
        <sz val="9"/>
        <color indexed="8"/>
        <rFont val="Arial Narrow"/>
        <family val="2"/>
      </rPr>
      <t>Monitoring and Evaluation</t>
    </r>
  </si>
  <si>
    <r>
      <t xml:space="preserve">SP3.4: </t>
    </r>
    <r>
      <rPr>
        <sz val="9"/>
        <color indexed="8"/>
        <rFont val="Arial Narrow"/>
        <family val="2"/>
      </rPr>
      <t>Pro-Poor/Institutional support</t>
    </r>
  </si>
  <si>
    <r>
      <t xml:space="preserve">SP3.2: </t>
    </r>
    <r>
      <rPr>
        <sz val="9"/>
        <color indexed="8"/>
        <rFont val="Arial Narrow"/>
        <family val="2"/>
      </rPr>
      <t>Livestock production and Management</t>
    </r>
  </si>
  <si>
    <r>
      <t xml:space="preserve">SP3.3: </t>
    </r>
    <r>
      <rPr>
        <sz val="9"/>
        <color indexed="8"/>
        <rFont val="Arial Narrow"/>
        <family val="2"/>
      </rPr>
      <t>Livestock Products Value Addition and Marketing</t>
    </r>
  </si>
  <si>
    <r>
      <t xml:space="preserve">SP4.1: </t>
    </r>
    <r>
      <rPr>
        <sz val="9"/>
        <color indexed="8"/>
        <rFont val="Arial Narrow"/>
        <family val="2"/>
      </rPr>
      <t>Fisheries Policy, Strategy and Capacity Building</t>
    </r>
  </si>
  <si>
    <r>
      <t>SP1.1:</t>
    </r>
    <r>
      <rPr>
        <sz val="9"/>
        <color indexed="8"/>
        <rFont val="Arial Narrow"/>
        <family val="2"/>
      </rPr>
      <t xml:space="preserve"> Administration</t>
    </r>
  </si>
  <si>
    <r>
      <t xml:space="preserve">SP2.1: </t>
    </r>
    <r>
      <rPr>
        <sz val="9"/>
        <color indexed="8"/>
        <rFont val="Arial Narrow"/>
        <family val="2"/>
      </rPr>
      <t>Early Childhood Development and Education</t>
    </r>
  </si>
  <si>
    <r>
      <t>SP2.2:</t>
    </r>
    <r>
      <rPr>
        <sz val="9"/>
        <color indexed="8"/>
        <rFont val="Arial Narrow"/>
        <family val="2"/>
      </rPr>
      <t xml:space="preserve"> ECD Teachers Training</t>
    </r>
  </si>
  <si>
    <r>
      <t xml:space="preserve">SP2.3: </t>
    </r>
    <r>
      <rPr>
        <sz val="9"/>
        <color indexed="8"/>
        <rFont val="Arial Narrow"/>
        <family val="2"/>
      </rPr>
      <t>ECD Infrastructure Development and Management</t>
    </r>
  </si>
  <si>
    <r>
      <t xml:space="preserve">SP3.1: </t>
    </r>
    <r>
      <rPr>
        <sz val="9"/>
        <color indexed="8"/>
        <rFont val="Arial Narrow"/>
        <family val="2"/>
      </rPr>
      <t>Talent Search</t>
    </r>
  </si>
  <si>
    <r>
      <t xml:space="preserve">SP3.3: </t>
    </r>
    <r>
      <rPr>
        <sz val="9"/>
        <color indexed="8"/>
        <rFont val="Arial Narrow"/>
        <family val="2"/>
      </rPr>
      <t>Youth and Environment</t>
    </r>
  </si>
  <si>
    <r>
      <t xml:space="preserve">SP2.1: </t>
    </r>
    <r>
      <rPr>
        <sz val="9"/>
        <color indexed="8"/>
        <rFont val="Arial Narrow"/>
        <family val="2"/>
      </rPr>
      <t>Roads Infrastructure Development</t>
    </r>
  </si>
  <si>
    <r>
      <t xml:space="preserve">SP2.1: </t>
    </r>
    <r>
      <rPr>
        <sz val="9"/>
        <color indexed="8"/>
        <rFont val="Arial Narrow"/>
        <family val="2"/>
      </rPr>
      <t>Water Resources Conservation and Protection</t>
    </r>
  </si>
  <si>
    <r>
      <t>SP2.2:</t>
    </r>
    <r>
      <rPr>
        <sz val="9"/>
        <color indexed="8"/>
        <rFont val="Arial Narrow"/>
        <family val="2"/>
      </rPr>
      <t xml:space="preserve"> Water Storage</t>
    </r>
  </si>
  <si>
    <r>
      <t xml:space="preserve">SP2.3: </t>
    </r>
    <r>
      <rPr>
        <sz val="9"/>
        <color indexed="8"/>
        <rFont val="Arial Narrow"/>
        <family val="2"/>
      </rPr>
      <t>Water Supply Infrastructure Development</t>
    </r>
  </si>
  <si>
    <r>
      <t xml:space="preserve">SP3. 1: </t>
    </r>
    <r>
      <rPr>
        <sz val="9"/>
        <color indexed="8"/>
        <rFont val="Arial Narrow"/>
        <family val="2"/>
      </rPr>
      <t>Catchment Rehabilitation and Conservation</t>
    </r>
  </si>
  <si>
    <r>
      <t xml:space="preserve">SP4.1: </t>
    </r>
    <r>
      <rPr>
        <sz val="9"/>
        <color indexed="8"/>
        <rFont val="Arial Narrow"/>
        <family val="2"/>
      </rPr>
      <t>Forests Conservation and Management</t>
    </r>
  </si>
  <si>
    <r>
      <t xml:space="preserve">SP4.2: </t>
    </r>
    <r>
      <rPr>
        <sz val="9"/>
        <color indexed="8"/>
        <rFont val="Arial Narrow"/>
        <family val="2"/>
      </rPr>
      <t>Wildlife Conservation and Security</t>
    </r>
  </si>
  <si>
    <r>
      <t xml:space="preserve">SP3. 1: </t>
    </r>
    <r>
      <rPr>
        <sz val="9"/>
        <color indexed="8"/>
        <rFont val="Arial Narrow"/>
        <family val="2"/>
      </rPr>
      <t>Conservation of Culture &amp; Heritage</t>
    </r>
  </si>
  <si>
    <r>
      <t>SP3. 2:</t>
    </r>
    <r>
      <rPr>
        <sz val="9"/>
        <color indexed="8"/>
        <rFont val="Arial Narrow"/>
        <family val="2"/>
      </rPr>
      <t xml:space="preserve"> Development &amp; Promotion of Culture</t>
    </r>
  </si>
  <si>
    <r>
      <t xml:space="preserve">SP3. 3: </t>
    </r>
    <r>
      <rPr>
        <sz val="9"/>
        <color indexed="8"/>
        <rFont val="Arial Narrow"/>
        <family val="2"/>
      </rPr>
      <t>Cultural infrastructure development</t>
    </r>
  </si>
  <si>
    <r>
      <t xml:space="preserve">SP4. 1: </t>
    </r>
    <r>
      <rPr>
        <sz val="9"/>
        <color indexed="8"/>
        <rFont val="Arial Narrow"/>
        <family val="2"/>
      </rPr>
      <t>Social Protection program</t>
    </r>
  </si>
  <si>
    <r>
      <t xml:space="preserve">SP4. 2: </t>
    </r>
    <r>
      <rPr>
        <sz val="9"/>
        <color indexed="8"/>
        <rFont val="Arial Narrow"/>
        <family val="2"/>
      </rPr>
      <t>Development of social infrastructures</t>
    </r>
  </si>
  <si>
    <r>
      <t xml:space="preserve">SP3.4: </t>
    </r>
    <r>
      <rPr>
        <sz val="9"/>
        <color indexed="8"/>
        <rFont val="Arial Narrow"/>
        <family val="2"/>
      </rPr>
      <t>Youth Empowerment and Employment Opportunities</t>
    </r>
  </si>
  <si>
    <r>
      <t xml:space="preserve">SP3.5: </t>
    </r>
    <r>
      <rPr>
        <sz val="9"/>
        <color indexed="8"/>
        <rFont val="Arial Narrow"/>
        <family val="2"/>
      </rPr>
      <t>Youth Training and Capacity Building</t>
    </r>
  </si>
  <si>
    <r>
      <t xml:space="preserve">SP4.1: </t>
    </r>
    <r>
      <rPr>
        <sz val="9"/>
        <color indexed="8"/>
        <rFont val="Arial Narrow"/>
        <family val="2"/>
      </rPr>
      <t>Technical Trainers and Instructor Services</t>
    </r>
  </si>
  <si>
    <r>
      <t xml:space="preserve">SP4.2: </t>
    </r>
    <r>
      <rPr>
        <sz val="9"/>
        <color indexed="8"/>
        <rFont val="Arial Narrow"/>
        <family val="2"/>
      </rPr>
      <t>Infrastructure Development and Expansion</t>
    </r>
  </si>
  <si>
    <r>
      <t xml:space="preserve">SP5.1: </t>
    </r>
    <r>
      <rPr>
        <sz val="9"/>
        <color indexed="8"/>
        <rFont val="Arial Narrow"/>
        <family val="2"/>
      </rPr>
      <t>Sports Training and Competitions</t>
    </r>
  </si>
  <si>
    <r>
      <t xml:space="preserve">SP5.2: </t>
    </r>
    <r>
      <rPr>
        <sz val="9"/>
        <color indexed="8"/>
        <rFont val="Arial Narrow"/>
        <family val="2"/>
      </rPr>
      <t>Development and Management of Sports Facilities</t>
    </r>
  </si>
  <si>
    <r>
      <t xml:space="preserve">SP6.1: </t>
    </r>
    <r>
      <rPr>
        <sz val="9"/>
        <color indexed="8"/>
        <rFont val="Arial Narrow"/>
        <family val="2"/>
      </rPr>
      <t>County Scholarship</t>
    </r>
  </si>
  <si>
    <t>Purchase of Workshop Tools, Spares and Small Equipment Brick making</t>
  </si>
  <si>
    <t>Field Training Attachments( Youth intership program)</t>
  </si>
  <si>
    <t>Training Expenses ( ECD)</t>
  </si>
  <si>
    <t>Construction of buildings (ECD Classes) &amp; Equipping</t>
  </si>
  <si>
    <t>Purchase of Office Furniture and Fittings - ward Offices</t>
  </si>
  <si>
    <t>Purchase of Motor bikes</t>
  </si>
  <si>
    <t>SP4.1: Civic Education</t>
  </si>
  <si>
    <t>SP4.2: Public Participation</t>
  </si>
  <si>
    <t>SP5.1: Low Cost Housing</t>
  </si>
  <si>
    <t>Construction of  Tarmac roads</t>
  </si>
  <si>
    <t>Tourism Marketin &amp; Promotion</t>
  </si>
  <si>
    <t>Tourism Infrusture Development</t>
  </si>
  <si>
    <r>
      <t>SP1.1:</t>
    </r>
    <r>
      <rPr>
        <sz val="12"/>
        <color indexed="8"/>
        <rFont val="Arial Narrow"/>
        <family val="2"/>
      </rPr>
      <t xml:space="preserve"> Financial Services</t>
    </r>
  </si>
  <si>
    <r>
      <t>SP1. 2:</t>
    </r>
    <r>
      <rPr>
        <sz val="12"/>
        <color indexed="8"/>
        <rFont val="Arial Narrow"/>
        <family val="2"/>
      </rPr>
      <t xml:space="preserve"> ICT Services</t>
    </r>
  </si>
  <si>
    <r>
      <t>SP2. 1:</t>
    </r>
    <r>
      <rPr>
        <sz val="12"/>
        <color indexed="8"/>
        <rFont val="Arial Narrow"/>
        <family val="2"/>
      </rPr>
      <t xml:space="preserve"> Resource Mobilization</t>
    </r>
  </si>
  <si>
    <r>
      <t>SP2. 2:</t>
    </r>
    <r>
      <rPr>
        <sz val="12"/>
        <color indexed="8"/>
        <rFont val="Arial Narrow"/>
        <family val="2"/>
      </rPr>
      <t xml:space="preserve"> Budget Formulation, Coordination and Management</t>
    </r>
  </si>
  <si>
    <r>
      <t xml:space="preserve">SP2.3: </t>
    </r>
    <r>
      <rPr>
        <sz val="12"/>
        <color indexed="8"/>
        <rFont val="Arial Narrow"/>
        <family val="2"/>
      </rPr>
      <t>Audit Services</t>
    </r>
  </si>
  <si>
    <r>
      <t xml:space="preserve">SP2.4: </t>
    </r>
    <r>
      <rPr>
        <sz val="12"/>
        <color indexed="8"/>
        <rFont val="Arial Narrow"/>
        <family val="2"/>
      </rPr>
      <t>Accounting Services</t>
    </r>
  </si>
  <si>
    <r>
      <t xml:space="preserve">SP2.5: </t>
    </r>
    <r>
      <rPr>
        <sz val="12"/>
        <color indexed="8"/>
        <rFont val="Arial Narrow"/>
        <family val="2"/>
      </rPr>
      <t>Supply Chain Management Services</t>
    </r>
  </si>
  <si>
    <r>
      <t>SP1.1:</t>
    </r>
    <r>
      <rPr>
        <sz val="11"/>
        <color indexed="8"/>
        <rFont val="Arial Narrow"/>
        <family val="2"/>
      </rPr>
      <t xml:space="preserve"> Administration</t>
    </r>
  </si>
  <si>
    <r>
      <t>SP1.2:</t>
    </r>
    <r>
      <rPr>
        <sz val="11"/>
        <color indexed="8"/>
        <rFont val="Arial Narrow"/>
        <family val="2"/>
      </rPr>
      <t xml:space="preserve"> Board Management Service</t>
    </r>
  </si>
  <si>
    <r>
      <t xml:space="preserve">SP1.3: </t>
    </r>
    <r>
      <rPr>
        <sz val="11"/>
        <color indexed="8"/>
        <rFont val="Arial Narrow"/>
        <family val="2"/>
      </rPr>
      <t>Ethics, Governance and Values</t>
    </r>
  </si>
  <si>
    <r>
      <t xml:space="preserve">SP2.1: </t>
    </r>
    <r>
      <rPr>
        <sz val="11"/>
        <color indexed="8"/>
        <rFont val="Arial Narrow"/>
        <family val="2"/>
      </rPr>
      <t>Human Resource Management</t>
    </r>
  </si>
  <si>
    <r>
      <t>SP2.2:</t>
    </r>
    <r>
      <rPr>
        <sz val="11"/>
        <color indexed="8"/>
        <rFont val="Arial Narrow"/>
        <family val="2"/>
      </rPr>
      <t xml:space="preserve"> Human Resource Development</t>
    </r>
  </si>
  <si>
    <r>
      <t xml:space="preserve">SP2.3: </t>
    </r>
    <r>
      <rPr>
        <sz val="11"/>
        <color indexed="8"/>
        <rFont val="Arial Narrow"/>
        <family val="2"/>
      </rPr>
      <t>Establishment, Management and Consultancy Services</t>
    </r>
  </si>
  <si>
    <t>SP1.1: Health Planning and Financing</t>
  </si>
  <si>
    <t>SP1.2: Health Infrastructure Development</t>
  </si>
  <si>
    <t>SP2.1: Communicable disease prevention and control</t>
  </si>
  <si>
    <t>SP2.2: Non-communicable conditions prevention and control</t>
  </si>
  <si>
    <t>SP3.1: Referral Services</t>
  </si>
  <si>
    <t>SP3.2: Specialized Services</t>
  </si>
  <si>
    <t>SP3.3: Drugs and commodities</t>
  </si>
  <si>
    <t>SP4.1: Integrated MCH and Family planning services</t>
  </si>
  <si>
    <r>
      <t>SP 1. 1</t>
    </r>
    <r>
      <rPr>
        <sz val="12"/>
        <color indexed="8"/>
        <rFont val="Arial Narrow"/>
        <family val="2"/>
      </rPr>
      <t xml:space="preserve">  Administration services</t>
    </r>
  </si>
  <si>
    <r>
      <t>SP 2.1</t>
    </r>
    <r>
      <rPr>
        <sz val="12"/>
        <color indexed="8"/>
        <rFont val="Arial Narrow"/>
        <family val="2"/>
      </rPr>
      <t xml:space="preserve"> Co-ordination of County Government Departments</t>
    </r>
  </si>
  <si>
    <r>
      <t xml:space="preserve">SP 2.2: </t>
    </r>
    <r>
      <rPr>
        <sz val="12"/>
        <color indexed="8"/>
        <rFont val="Arial Narrow"/>
        <family val="2"/>
      </rPr>
      <t>Coordination of Non State Actors</t>
    </r>
  </si>
  <si>
    <r>
      <t>SP 5.1</t>
    </r>
    <r>
      <rPr>
        <sz val="12"/>
        <color indexed="8"/>
        <rFont val="Arial Narrow"/>
        <family val="2"/>
      </rPr>
      <t xml:space="preserve"> Peace building and conflict resolution</t>
    </r>
  </si>
  <si>
    <r>
      <t>SP 5. 2</t>
    </r>
    <r>
      <rPr>
        <sz val="12"/>
        <color indexed="8"/>
        <rFont val="Arial Narrow"/>
        <family val="2"/>
      </rPr>
      <t>. Disaster management and emergency response</t>
    </r>
  </si>
  <si>
    <r>
      <t>SP 4.1</t>
    </r>
    <r>
      <rPr>
        <sz val="12"/>
        <color indexed="8"/>
        <rFont val="Arial Narrow"/>
        <family val="2"/>
      </rPr>
      <t xml:space="preserve"> Civic education </t>
    </r>
  </si>
  <si>
    <r>
      <t>SP1.1:</t>
    </r>
    <r>
      <rPr>
        <sz val="12"/>
        <color indexed="8"/>
        <rFont val="Arial Narrow"/>
        <family val="2"/>
      </rPr>
      <t xml:space="preserve"> General Administration, Planning and Support Services</t>
    </r>
  </si>
  <si>
    <r>
      <t xml:space="preserve">SP2.1: </t>
    </r>
    <r>
      <rPr>
        <sz val="12"/>
        <color indexed="8"/>
        <rFont val="Arial Narrow"/>
        <family val="2"/>
      </rPr>
      <t>Roads Infrastructure Development</t>
    </r>
  </si>
  <si>
    <r>
      <t xml:space="preserve">SP3.1: </t>
    </r>
    <r>
      <rPr>
        <sz val="12"/>
        <color indexed="8"/>
        <rFont val="Arial Narrow"/>
        <family val="2"/>
      </rPr>
      <t>Public Works Services</t>
    </r>
  </si>
  <si>
    <t>SP 3.1:  Develop infrastructure &amp; facilities</t>
  </si>
  <si>
    <t>SP 3.2:  Establish county Enterprise fund</t>
  </si>
  <si>
    <t>SP 2.1:  Upgrading rural markets</t>
  </si>
  <si>
    <t>SP1.2: Executive Infrastructure Development</t>
  </si>
  <si>
    <t>SP1: County Executive services</t>
  </si>
  <si>
    <t>SP1: Public Sector Advisory services</t>
  </si>
  <si>
    <r>
      <t xml:space="preserve">Programme 4: </t>
    </r>
    <r>
      <rPr>
        <sz val="12"/>
        <color indexed="8"/>
        <rFont val="Arial Narrow"/>
        <family val="2"/>
      </rPr>
      <t>Inter-Governmental Relations</t>
    </r>
  </si>
  <si>
    <r>
      <t xml:space="preserve">Programme 5: </t>
    </r>
    <r>
      <rPr>
        <sz val="12"/>
        <color indexed="8"/>
        <rFont val="Arial Narrow"/>
        <family val="2"/>
      </rPr>
      <t>County Legal Services</t>
    </r>
  </si>
  <si>
    <t>REVENUE ESTIMATES</t>
  </si>
  <si>
    <t>Particulars</t>
  </si>
  <si>
    <t>Estimated Own Revenue</t>
  </si>
  <si>
    <t>Equitable share</t>
  </si>
  <si>
    <t>Conditional Allocation</t>
  </si>
  <si>
    <t>CA - Fuel Levy  Fund</t>
  </si>
  <si>
    <t>Total Conditional Allocation</t>
  </si>
  <si>
    <t>Total Revenue</t>
  </si>
  <si>
    <t>Vote Code Title</t>
  </si>
  <si>
    <t>Gross Recurrent Estimates</t>
  </si>
  <si>
    <t>Gross Development Estimates</t>
  </si>
  <si>
    <t>Gross Total Estimates</t>
  </si>
  <si>
    <t>2016/2017 – KSHS</t>
  </si>
  <si>
    <r>
      <t>3461</t>
    </r>
    <r>
      <rPr>
        <sz val="10"/>
        <color indexed="8"/>
        <rFont val="Times New Roman"/>
        <family val="1"/>
      </rPr>
      <t>- County Assembly</t>
    </r>
  </si>
  <si>
    <r>
      <t>3462</t>
    </r>
    <r>
      <rPr>
        <sz val="10"/>
        <color indexed="8"/>
        <rFont val="Times New Roman"/>
        <family val="1"/>
      </rPr>
      <t>- County Executive</t>
    </r>
  </si>
  <si>
    <r>
      <t>3463</t>
    </r>
    <r>
      <rPr>
        <sz val="10"/>
        <color indexed="8"/>
        <rFont val="Times New Roman"/>
        <family val="1"/>
      </rPr>
      <t>- Finance &amp; Economic Planning</t>
    </r>
  </si>
  <si>
    <r>
      <t>3464</t>
    </r>
    <r>
      <rPr>
        <sz val="10"/>
        <color indexed="8"/>
        <rFont val="Times New Roman"/>
        <family val="1"/>
      </rPr>
      <t>- Agriculture, Livestock &amp; Fisheries</t>
    </r>
  </si>
  <si>
    <r>
      <t>3465</t>
    </r>
    <r>
      <rPr>
        <sz val="10"/>
        <color indexed="8"/>
        <rFont val="Times New Roman"/>
        <family val="1"/>
      </rPr>
      <t>- County Public Service Board</t>
    </r>
  </si>
  <si>
    <r>
      <t>3466</t>
    </r>
    <r>
      <rPr>
        <sz val="10"/>
        <color indexed="8"/>
        <rFont val="Times New Roman"/>
        <family val="1"/>
      </rPr>
      <t>- Education, Skills Development, Youth &amp; Sports</t>
    </r>
  </si>
  <si>
    <r>
      <t>3467</t>
    </r>
    <r>
      <rPr>
        <sz val="10"/>
        <color indexed="8"/>
        <rFont val="Times New Roman"/>
        <family val="1"/>
      </rPr>
      <t>- Health Services</t>
    </r>
  </si>
  <si>
    <r>
      <t>3468</t>
    </r>
    <r>
      <rPr>
        <sz val="10"/>
        <color indexed="8"/>
        <rFont val="Times New Roman"/>
        <family val="1"/>
      </rPr>
      <t>- Administration, Coordination &amp; ICT</t>
    </r>
  </si>
  <si>
    <r>
      <t>3469</t>
    </r>
    <r>
      <rPr>
        <sz val="10"/>
        <color indexed="8"/>
        <rFont val="Times New Roman"/>
        <family val="1"/>
      </rPr>
      <t>- Energy, Lands,Housing &amp; Urban Development</t>
    </r>
  </si>
  <si>
    <r>
      <t>3470</t>
    </r>
    <r>
      <rPr>
        <sz val="10"/>
        <color indexed="8"/>
        <rFont val="Times New Roman"/>
        <family val="1"/>
      </rPr>
      <t>- Roads, Public Works &amp; Transport</t>
    </r>
  </si>
  <si>
    <r>
      <t>3471</t>
    </r>
    <r>
      <rPr>
        <sz val="10"/>
        <color indexed="8"/>
        <rFont val="Times New Roman"/>
        <family val="1"/>
      </rPr>
      <t>- Water, Environment &amp; Natural Resources</t>
    </r>
  </si>
  <si>
    <r>
      <t>3472</t>
    </r>
    <r>
      <rPr>
        <sz val="10"/>
        <color indexed="8"/>
        <rFont val="Times New Roman"/>
        <family val="1"/>
      </rPr>
      <t>- Tourism, Trade, Industry &amp; Enterprise Development</t>
    </r>
  </si>
  <si>
    <r>
      <t>3473</t>
    </r>
    <r>
      <rPr>
        <sz val="10"/>
        <color indexed="8"/>
        <rFont val="Times New Roman"/>
        <family val="1"/>
      </rPr>
      <t>- Culture &amp; Social Services</t>
    </r>
  </si>
  <si>
    <t>TOTAL VOTED EXPENDITURE...KSHS</t>
  </si>
  <si>
    <t>Percentage</t>
  </si>
  <si>
    <t>CFSP CEILING</t>
  </si>
  <si>
    <t>Kenya Devolution Support Programme for Results</t>
  </si>
  <si>
    <t>SUMMARY OF EXPENDITURE BY VOTE AND CATEGORY 2016/2017 (KSHS)</t>
  </si>
  <si>
    <t>PERCENTAGE</t>
  </si>
  <si>
    <t xml:space="preserve"> Gender Mainstreaming</t>
  </si>
  <si>
    <t>SP3.5:  Gender Mainstreaming</t>
  </si>
  <si>
    <t xml:space="preserve"> Purchase of Boats</t>
  </si>
  <si>
    <t>Pending bills for FY 2015/2016</t>
  </si>
  <si>
    <t>4130201 Domestic Payables - from Previous Financial Year</t>
  </si>
  <si>
    <t>SUMMARY OF DEVELOPMENT PROJECTS - FY 2017/2018</t>
  </si>
  <si>
    <t xml:space="preserve"> RECURRENT EXPENDITURE ESTIMATES SUMMARY 2017/2018 </t>
  </si>
  <si>
    <t>Estimates 2017/2018</t>
  </si>
  <si>
    <t>Twin latrine for Laisamis Vet office</t>
  </si>
  <si>
    <t>Gudas</t>
  </si>
  <si>
    <t>Holding yard/Cattle Crush &amp; Loading ramp</t>
  </si>
  <si>
    <t>Badan Rero</t>
  </si>
  <si>
    <t>Cattle crush/Loading Ramp</t>
  </si>
  <si>
    <t>Ramata</t>
  </si>
  <si>
    <t>Micro -irrigation support at Mado Adhi</t>
  </si>
  <si>
    <t>Mado Adhi</t>
  </si>
  <si>
    <t>Construction of livestock handling yard</t>
  </si>
  <si>
    <t>Soak pit/septic tank  for disposal of blood and ruminal content</t>
  </si>
  <si>
    <t>Generator and Fencing of Fish cold storage facility</t>
  </si>
  <si>
    <t xml:space="preserve">Illeret </t>
  </si>
  <si>
    <t>Cattle Crash and holding yard (2)</t>
  </si>
  <si>
    <t>Hurri Hills</t>
  </si>
  <si>
    <t>Construction of Underground water of 200m3  at Shankera, Iyole , Baqaqa Villages</t>
  </si>
  <si>
    <t xml:space="preserve">Maikona </t>
  </si>
  <si>
    <t xml:space="preserve">Turbi </t>
  </si>
  <si>
    <t>Purchase of block making machine</t>
  </si>
  <si>
    <t>Kargi/South-Horr</t>
  </si>
  <si>
    <t>South-horr</t>
  </si>
  <si>
    <t>Construction of class room and purchase of furnitures</t>
  </si>
  <si>
    <t>Merille VTC (dormitory, tools &amp; equipment and masonry water tanks)</t>
  </si>
  <si>
    <t>Merille</t>
  </si>
  <si>
    <t>Fencing of sport field, toilets and a changing room</t>
  </si>
  <si>
    <t>Log Logo</t>
  </si>
  <si>
    <t>Staff house; Kargi health center</t>
  </si>
  <si>
    <t>Placenter pit construction</t>
  </si>
  <si>
    <t>Solar connection at dispensary</t>
  </si>
  <si>
    <t xml:space="preserve">Double pit-latrine at dispensary </t>
  </si>
  <si>
    <t>Fencing of Arge dispensary</t>
  </si>
  <si>
    <t>Equiping of Arge dispensary</t>
  </si>
  <si>
    <t>Construction of maternity ward and equiping</t>
  </si>
  <si>
    <t>Korr- Ngurunit</t>
  </si>
  <si>
    <t>Korr center</t>
  </si>
  <si>
    <t>Equiping Farakoren dispensary</t>
  </si>
  <si>
    <t>Farakoren</t>
  </si>
  <si>
    <t>Furniture for Farakoren dispensary</t>
  </si>
  <si>
    <t>Health staff houses</t>
  </si>
  <si>
    <t>Construction of toilets</t>
  </si>
  <si>
    <t>Buri Aramia staff house</t>
  </si>
  <si>
    <t>Buri Aramis</t>
  </si>
  <si>
    <t>Renovation of dispensary/toilet</t>
  </si>
  <si>
    <t>Korr -Ngurunit</t>
  </si>
  <si>
    <t>Toilet mpagas dispensary</t>
  </si>
  <si>
    <t>Solar mpagas dispensary</t>
  </si>
  <si>
    <t>Construction of two latrines and bathroom</t>
  </si>
  <si>
    <t>Amalio pri</t>
  </si>
  <si>
    <t>Brick making machine and compresor machine; and fence</t>
  </si>
  <si>
    <t xml:space="preserve">Korr </t>
  </si>
  <si>
    <t>Construction of Staff quarters</t>
  </si>
  <si>
    <t>Laisamis Hospital</t>
  </si>
  <si>
    <t>Patient toilets</t>
  </si>
  <si>
    <t>Staff Toilets</t>
  </si>
  <si>
    <t>Solar Installation</t>
  </si>
  <si>
    <t>Merille Health Centre</t>
  </si>
  <si>
    <t>Water tank, guttering and minor repairs</t>
  </si>
  <si>
    <t>Facility Renovation</t>
  </si>
  <si>
    <t>Kamboe dispensary</t>
  </si>
  <si>
    <t>Electricity Connection</t>
  </si>
  <si>
    <t>Olturot Disp</t>
  </si>
  <si>
    <t>Olturot Dispensary furnitures</t>
  </si>
  <si>
    <t>Arapal Disp</t>
  </si>
  <si>
    <t>Equiping Arapal Dispensary/ furnitures</t>
  </si>
  <si>
    <t>Loiy. Health Centre Staff House</t>
  </si>
  <si>
    <t>Loiyangalani HC</t>
  </si>
  <si>
    <t>El-Molo Bay Disp</t>
  </si>
  <si>
    <t>Layeni &amp; Komote</t>
  </si>
  <si>
    <t>Moite Dispensary solar system</t>
  </si>
  <si>
    <t>Moite Disp</t>
  </si>
  <si>
    <t>Korr-Ngurunit</t>
  </si>
  <si>
    <t xml:space="preserve">Illaut </t>
  </si>
  <si>
    <t>Marsabit-Kargi road; Spot improvement</t>
  </si>
  <si>
    <t>Purchase and installation of standby solar for Dakhane Borehole</t>
  </si>
  <si>
    <t>Rehabilitation of Kargi borehole</t>
  </si>
  <si>
    <t>Equiping of Sericho borehole</t>
  </si>
  <si>
    <t>Bush clearing S.Horr Mermeji road</t>
  </si>
  <si>
    <t>Rehabilitation of Lapikutuk borehole</t>
  </si>
  <si>
    <t xml:space="preserve">Contruction of 50m3 mansory tank of Buri Aramia </t>
  </si>
  <si>
    <t>Buri Aramia</t>
  </si>
  <si>
    <t>Drlling of Galtheilan borehole</t>
  </si>
  <si>
    <t>Galtheilan/Lorora</t>
  </si>
  <si>
    <t>Piping water from Tubcha borehole to Balah dispensary and balah primary</t>
  </si>
  <si>
    <t>Balah</t>
  </si>
  <si>
    <t>Sarai</t>
  </si>
  <si>
    <t>2 No plastic tank with gutters</t>
  </si>
  <si>
    <t>Two generator for Lengima and Namarei</t>
  </si>
  <si>
    <t>Lengima/Namarei</t>
  </si>
  <si>
    <t>Repair of nebey tank</t>
  </si>
  <si>
    <t>Ongeli Pan</t>
  </si>
  <si>
    <t>Ongeli</t>
  </si>
  <si>
    <t xml:space="preserve">Rehabilitataion of Laisamis urban water </t>
  </si>
  <si>
    <t>Laisamis/Koya</t>
  </si>
  <si>
    <t>Ndikir</t>
  </si>
  <si>
    <t>Distribution line from Sakardala Borehole to the manyatta (4KMS)</t>
  </si>
  <si>
    <t>Management of allian species</t>
  </si>
  <si>
    <t>Rehabilitation of Logologo water supply  4Km , 200 water metres and reticulation system</t>
  </si>
  <si>
    <t>Piping from Midroc Borehole to Loigeruno tank</t>
  </si>
  <si>
    <t>Losirikiachi</t>
  </si>
  <si>
    <t>Lomugul</t>
  </si>
  <si>
    <t>Ngororoi pipes repairs</t>
  </si>
  <si>
    <t>Larachai mansonary tank &amp; 2 troughs</t>
  </si>
  <si>
    <t>Loiy.Health Centre water tank &amp; gutters</t>
  </si>
  <si>
    <t xml:space="preserve"> Lchurle water tank</t>
  </si>
  <si>
    <t>Lchurle</t>
  </si>
  <si>
    <t>Moyale Sub county</t>
  </si>
  <si>
    <t>Laisamis Sub county</t>
  </si>
  <si>
    <t>Installation of solar panels at  Kargi market stalls</t>
  </si>
  <si>
    <t>wiring and electricity connection at Laisamis Market</t>
  </si>
  <si>
    <t>Solar panel for Loiy.market</t>
  </si>
  <si>
    <t>Loiyangalani Market</t>
  </si>
  <si>
    <t>Museum villas equipping</t>
  </si>
  <si>
    <t>Loiyangalani Museum</t>
  </si>
  <si>
    <t>Tourism Info.Centre</t>
  </si>
  <si>
    <t>Loiy Tourism Inf. Centre</t>
  </si>
  <si>
    <t>Rescue Centre(Gender special project)</t>
  </si>
  <si>
    <t>Loglogo centre</t>
  </si>
  <si>
    <t>Equipping Gatab Social Hall</t>
  </si>
  <si>
    <t>Teso</t>
  </si>
  <si>
    <t>Construction of Toilet for ECD at Qilta Primary</t>
  </si>
  <si>
    <t>Construction of 2No. ECD classrooms with equipments and a double door toilet for Somare Primary (The number of children is too high)</t>
  </si>
  <si>
    <t>Somare primary</t>
  </si>
  <si>
    <t>Qate dispensary</t>
  </si>
  <si>
    <t>Butiye dispensary</t>
  </si>
  <si>
    <t>Butiye dispensary Facility renovations</t>
  </si>
  <si>
    <t>Construction of Bori Junction dispensary staff  house</t>
  </si>
  <si>
    <t>Bori Junction dispensary</t>
  </si>
  <si>
    <t>Construction of Bori  dispensary staff  house</t>
  </si>
  <si>
    <t>Bori dispensary</t>
  </si>
  <si>
    <t>Construction of Somare  dispensary staff  house</t>
  </si>
  <si>
    <t>Somare dispensary</t>
  </si>
  <si>
    <t>Connection to the electricity</t>
  </si>
  <si>
    <t>Solar street lighting on Butiye-CIFA-Sessi road</t>
  </si>
  <si>
    <t>Goromudha</t>
  </si>
  <si>
    <r>
      <t>Expansion of Antut water pan 30,000m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capacity</t>
    </r>
  </si>
  <si>
    <t>Antut</t>
  </si>
  <si>
    <t>Solar installation on Bori main borehole</t>
  </si>
  <si>
    <t>Bori</t>
  </si>
  <si>
    <t>Expansion and desilting of Teso pan</t>
  </si>
  <si>
    <t>Construction of underground tank at Teso</t>
  </si>
  <si>
    <t>Renovation of ECD at Heilu primary</t>
  </si>
  <si>
    <t>staff house construction</t>
  </si>
  <si>
    <t>Mansille dispensary</t>
  </si>
  <si>
    <t>Renovation of the facility including water supply</t>
  </si>
  <si>
    <t>Maternity renovation</t>
  </si>
  <si>
    <t>Heillu HC</t>
  </si>
  <si>
    <t>Purchase of dispensary  furniture</t>
  </si>
  <si>
    <t>Manyatta burji Disp.</t>
  </si>
  <si>
    <t>Manyatta Burji- Hellu Road</t>
  </si>
  <si>
    <t>Mansile</t>
  </si>
  <si>
    <t>Piping to Manyatta (mwalimu saadia region)</t>
  </si>
  <si>
    <t xml:space="preserve">Manyatta </t>
  </si>
  <si>
    <t>Raised 30,000lts steel water tank at Kinisa Borehole</t>
  </si>
  <si>
    <t>Desilting of harr bagasa water pan</t>
  </si>
  <si>
    <t>Desilting of mansile dam</t>
  </si>
  <si>
    <t>Plastic water tanks for lami and manyatta</t>
  </si>
  <si>
    <t>Lami, Manyatta</t>
  </si>
  <si>
    <t>Renovation of social hall at Heilu</t>
  </si>
  <si>
    <t>Heilu-manayatta</t>
  </si>
  <si>
    <t>Hades</t>
  </si>
  <si>
    <t>Construction, equipping of ECD with dooble door toilet at Odha</t>
  </si>
  <si>
    <t>Odha</t>
  </si>
  <si>
    <t>Eqipping Koloba ECD</t>
  </si>
  <si>
    <t>Koloba</t>
  </si>
  <si>
    <t>Bush clearing and leveling of Dabel football field</t>
  </si>
  <si>
    <t>Nana HC</t>
  </si>
  <si>
    <t>Toilet at Iladu  dispensary</t>
  </si>
  <si>
    <t>Iladu Disp.</t>
  </si>
  <si>
    <t>Equipment of Iladu dispensary</t>
  </si>
  <si>
    <t>Equipping Dabel Health centre Lab</t>
  </si>
  <si>
    <t>Dabel Lab</t>
  </si>
  <si>
    <t>Electricity connection</t>
  </si>
  <si>
    <t>Odda Dispensary</t>
  </si>
  <si>
    <t>Funan Nyata dispensary</t>
  </si>
  <si>
    <t>Purchase of furniture</t>
  </si>
  <si>
    <t>Construction of staff house at Dirdima disp.</t>
  </si>
  <si>
    <t>Dirdima</t>
  </si>
  <si>
    <t xml:space="preserve">Solar street lighting at Odha </t>
  </si>
  <si>
    <r>
      <t>Expansion of Watiti water pan 200m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capacity</t>
    </r>
  </si>
  <si>
    <t>Construction of underground tank 200m3</t>
  </si>
  <si>
    <t>Godoma Didiqo</t>
  </si>
  <si>
    <t>Piping from Nana borehole-town with 3 water kiosks</t>
  </si>
  <si>
    <t xml:space="preserve">Purchase and installation of genset in Qoloba </t>
  </si>
  <si>
    <t>Qoloba</t>
  </si>
  <si>
    <t>plastic tanks, 10,000lt for Qonkom 1</t>
  </si>
  <si>
    <t>Qonkom</t>
  </si>
  <si>
    <t>Piping to Godoma Health centre</t>
  </si>
  <si>
    <t>Godoma HC</t>
  </si>
  <si>
    <t>Piping to Dabel health centre (Steel pipes)</t>
  </si>
  <si>
    <t>Dabel HC</t>
  </si>
  <si>
    <t>Renovation with Steel pipes borehole to Gola (6Kms)</t>
  </si>
  <si>
    <t>Desilting of Misa Dam</t>
  </si>
  <si>
    <t>Desilting of Halchiso dam</t>
  </si>
  <si>
    <t>Guyo timo</t>
  </si>
  <si>
    <t xml:space="preserve">Construction and equipping of social hall at Yaballo </t>
  </si>
  <si>
    <t>MOYALE  VTC (dormitory, pit latrine, tools &amp; equipment and furniture)</t>
  </si>
  <si>
    <t>VTC</t>
  </si>
  <si>
    <t>Toilets at Alhudha ECD</t>
  </si>
  <si>
    <t>Equipping of ECD at Sessi pry</t>
  </si>
  <si>
    <t>Construction and equiping of maternity</t>
  </si>
  <si>
    <t>Moyale SCRH</t>
  </si>
  <si>
    <t>Refrigerator</t>
  </si>
  <si>
    <t>Gurumesa dispensary</t>
  </si>
  <si>
    <t>Foot bridge at Akuba mosque</t>
  </si>
  <si>
    <t>Piping for Sessi</t>
  </si>
  <si>
    <t>Plastic tanks for town</t>
  </si>
  <si>
    <t>Tourism Information centre at the One stop cross border centre</t>
  </si>
  <si>
    <t>Moyale town</t>
  </si>
  <si>
    <t>ECD Toilet at Kukub ECD</t>
  </si>
  <si>
    <t>Purchase &amp; Installation of Plastic tanks at ECD</t>
  </si>
  <si>
    <t>Construction of Maternity</t>
  </si>
  <si>
    <t>Staff House at Adadi Dispensary</t>
  </si>
  <si>
    <t>Water piping Malbe Bali-Amballo</t>
  </si>
  <si>
    <t>Desilting and dam inlet at Kukub</t>
  </si>
  <si>
    <t>Desilting of Mukh Gura water pan</t>
  </si>
  <si>
    <t>Drilling and equipping of borehole</t>
  </si>
  <si>
    <t>Makutano</t>
  </si>
  <si>
    <t xml:space="preserve">DF Borehole Equipping &amp; Pump House </t>
  </si>
  <si>
    <t>Equipping Makutano Jua Kali Centre</t>
  </si>
  <si>
    <t>Construction  of ECD</t>
  </si>
  <si>
    <t>Ariiya</t>
  </si>
  <si>
    <t>Staff House at Waye dispensary</t>
  </si>
  <si>
    <t>Waye Godha</t>
  </si>
  <si>
    <t>Construction of Masonary tank- 100m3 at Dispensary</t>
  </si>
  <si>
    <t>Staff house at Anona dispensary</t>
  </si>
  <si>
    <t>Renovation &amp; Equipping of Maternity</t>
  </si>
  <si>
    <t>Solar Lighting System In Sololo Town</t>
  </si>
  <si>
    <t>Sololo Town</t>
  </si>
  <si>
    <t>Mado Adhi - Sololo  Road ( Bridges/Culvert/slab)</t>
  </si>
  <si>
    <t>Market stalls at Sololo Market</t>
  </si>
  <si>
    <t>Water kiosks &amp; Piping within Sololo</t>
  </si>
  <si>
    <t>Desilting of Gaarbi Catchment</t>
  </si>
  <si>
    <t>Renovation and Equipping of Golole Maternity</t>
  </si>
  <si>
    <t>Solar Power system for Karbururi Dispensary</t>
  </si>
  <si>
    <t>Karbururi</t>
  </si>
  <si>
    <t>Uran Godha</t>
  </si>
  <si>
    <t>Staff House at Funan Qumbi Dispensary</t>
  </si>
  <si>
    <t>Funan Qumbi</t>
  </si>
  <si>
    <t>Renovation and equipping of Maternity at Walda</t>
  </si>
  <si>
    <t>Plastic tanks and installation at Lataka</t>
  </si>
  <si>
    <t>Lataka</t>
  </si>
  <si>
    <t>Underground rock catchment at Qicha</t>
  </si>
  <si>
    <t>Qicha</t>
  </si>
  <si>
    <t>Underground rock catchment at Qiltipe</t>
  </si>
  <si>
    <t>Qiltipe</t>
  </si>
  <si>
    <t>Installation of Genset at Badhanot Borehole</t>
  </si>
  <si>
    <t>Badhanot</t>
  </si>
  <si>
    <t>Rawan</t>
  </si>
  <si>
    <t>Construction of Market stalls</t>
  </si>
  <si>
    <t xml:space="preserve">Uran </t>
  </si>
  <si>
    <t>Expansion of Dukana water Supply; 2km distribution,4 No water kiosks, and water metres to kiosks and Individual connections.</t>
  </si>
  <si>
    <t xml:space="preserve">construction of 1 No. Underground tank of 300m3 each for Diid Golla </t>
  </si>
  <si>
    <t>Diid Golla</t>
  </si>
  <si>
    <t xml:space="preserve">Augmentation of Balesa water supply;  pump house repair, 50 individual water meters, and mains metre. </t>
  </si>
  <si>
    <t>BalesaTown</t>
  </si>
  <si>
    <t>Extension of El adi water supply</t>
  </si>
  <si>
    <t xml:space="preserve">Construction of underground tank at Kilkille </t>
  </si>
  <si>
    <t>Construction of underground tank at Qarsa Lokho</t>
  </si>
  <si>
    <t>Extension of water pipeline to Marime ECD</t>
  </si>
  <si>
    <t>Roof catchment storage tank and guttering for Marime ECD</t>
  </si>
  <si>
    <t>Construction of toilet and bathroom for Ehaldi Borehole</t>
  </si>
  <si>
    <t xml:space="preserve">Piping of water to Balesa Saru Dispensary </t>
  </si>
  <si>
    <t>Fencing and water trough of Selegabaro earth pan</t>
  </si>
  <si>
    <t>Water troughs for Buluk Borehole</t>
  </si>
  <si>
    <t>Buluk</t>
  </si>
  <si>
    <t>Water troughs for Arabtris Borehole</t>
  </si>
  <si>
    <t>Arabtris</t>
  </si>
  <si>
    <t>Construction of 1no. 100m3 Underground tank at Tullu Qarsa</t>
  </si>
  <si>
    <t>Tullu Qarsa</t>
  </si>
  <si>
    <t>Bales Saru Dispensary</t>
  </si>
  <si>
    <t>Provision of water  for Bales Saru Dispensary</t>
  </si>
  <si>
    <t>Reconnection of electricity to Dukana Health Centre</t>
  </si>
  <si>
    <t>Dukana Health Centre</t>
  </si>
  <si>
    <t>Provision of bat prove roofing  for Dukana Health Centre</t>
  </si>
  <si>
    <t>Redesigning of new outpatient blockBalesa Dispensary</t>
  </si>
  <si>
    <t>Balesa Dispensary</t>
  </si>
  <si>
    <t>Renovation and electricity Balesa Dispens</t>
  </si>
  <si>
    <t xml:space="preserve">Purchase of  shelves  for Balesa Dispensary </t>
  </si>
  <si>
    <t>El Hadi Dispensary</t>
  </si>
  <si>
    <t>Kubi -Adi</t>
  </si>
  <si>
    <t>Solar panels  for Dukana Market shade</t>
  </si>
  <si>
    <r>
      <t>Expansion if Illeret water supply,100m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distribution masonry tank, mains and distribution to ward offices and the proposed high school compound.</t>
    </r>
  </si>
  <si>
    <r>
      <t>Purchase 20 No 10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plastic tank for the school and village as reservoir tanks</t>
    </r>
  </si>
  <si>
    <t>Telesgeye</t>
  </si>
  <si>
    <t>purchase and install a solar powered Desalination plant for Telesgeye borehole including minor civil works and housing</t>
  </si>
  <si>
    <t>Provision of water to Telesgaye Dispensary</t>
  </si>
  <si>
    <t>Telesgaye Dispensary</t>
  </si>
  <si>
    <t xml:space="preserve">1,000,000
</t>
  </si>
  <si>
    <t>Construction of toilet for Illeret Dispensary</t>
  </si>
  <si>
    <t>Fencing of Illeret Dispensary</t>
  </si>
  <si>
    <t>Lab for Illeret Dispensary</t>
  </si>
  <si>
    <t xml:space="preserve">Renovation of maternity facility </t>
  </si>
  <si>
    <t>Furniture for Illeret ECD</t>
  </si>
  <si>
    <t>Learning materials for Illeret ECD</t>
  </si>
  <si>
    <t>Furniture for Telesgaye ECD</t>
  </si>
  <si>
    <t>Telesgaye</t>
  </si>
  <si>
    <t>Solar installation for Telesgaye ECD</t>
  </si>
  <si>
    <t>Ileret</t>
  </si>
  <si>
    <t>Maikona Town</t>
  </si>
  <si>
    <t xml:space="preserve">Drilling of borehole , equiping and laying  of pipelines , construction 50m3 masonary tank and troughs at Forolle  </t>
  </si>
  <si>
    <t>1 No Underground tank, 200m3  each for  Dakane and  Idhido</t>
  </si>
  <si>
    <t>Maikona,</t>
  </si>
  <si>
    <t>Hurri Hills,  Forole</t>
  </si>
  <si>
    <t>Kalacha Water Supply</t>
  </si>
  <si>
    <t>Kalacha town</t>
  </si>
  <si>
    <t>Upvc Piepline extensions to BALALI village with  and El Gade primary from borehole- distance 4km</t>
  </si>
  <si>
    <t>Elgathe</t>
  </si>
  <si>
    <t>Equip Elboji with standby solar pump, parallel line to serve nearby community comprising of over 130 Householda with a solar pump and provide a storage tank.</t>
  </si>
  <si>
    <t>El-boji</t>
  </si>
  <si>
    <t xml:space="preserve">Solar system replacement for  Elgade Dispensary </t>
  </si>
  <si>
    <t>Elgade Dispensary</t>
  </si>
  <si>
    <t>Forole Dispensary</t>
  </si>
  <si>
    <t>Water tank</t>
  </si>
  <si>
    <t>Water provision</t>
  </si>
  <si>
    <t>Hurri Hills Dispensary</t>
  </si>
  <si>
    <t>Installation of systems to Maternity wings</t>
  </si>
  <si>
    <t xml:space="preserve">Provision of water 
</t>
  </si>
  <si>
    <t>Maikona Health Centre</t>
  </si>
  <si>
    <t>Reconnection of solar supply</t>
  </si>
  <si>
    <t>UMURO VTC (Staff houses, tools &amp; equipment, dining &amp; kitchen, furniture, hand pump and water tanks)</t>
  </si>
  <si>
    <t xml:space="preserve">Kalacha </t>
  </si>
  <si>
    <t>Maikona town</t>
  </si>
  <si>
    <t>Solar panels for Maikona Mkt stalls</t>
  </si>
  <si>
    <t xml:space="preserve">Construction of 100m3 underground tank at Demo </t>
  </si>
  <si>
    <t>Demo</t>
  </si>
  <si>
    <t xml:space="preserve">Construction of 50m3 Masonry water   tank  &amp;  2No. 10m Troughs at Demo borehole  </t>
  </si>
  <si>
    <t>Purchase and  installation of a standby genset</t>
  </si>
  <si>
    <t>Construction of 50m3 Masonry water  tank  at Hon. Isacko School</t>
  </si>
  <si>
    <t>Hon. Isacko School</t>
  </si>
  <si>
    <t>Construction of 1No. 100m3 masonary water  tank at Bubisa I borehole and 1No.15m trough</t>
  </si>
  <si>
    <t>Rehabilitation of  underground  water tanks at Mude</t>
  </si>
  <si>
    <t>Mude</t>
  </si>
  <si>
    <t>Lalesa</t>
  </si>
  <si>
    <t>Hawaye</t>
  </si>
  <si>
    <t>2 Inch Upvc  pipeline from Shurr Borehole to Ergemsa - 4km</t>
  </si>
  <si>
    <t>Purchase of 4 Collapsible water tanks  for Yaa Galbo/Yaa Odholla and Purchase of 5000ltrs for Bubisa town</t>
  </si>
  <si>
    <t>Yaa/ Bubisa</t>
  </si>
  <si>
    <t>Equipping &amp; Solar installation of Turbi  Laboratory Health Centre</t>
  </si>
  <si>
    <t>Turbi dispensary</t>
  </si>
  <si>
    <t>Furnishing/ Equiping  of Turbi Health Centre maternity ward</t>
  </si>
  <si>
    <t>Fencing of Turbi Health Centre</t>
  </si>
  <si>
    <t xml:space="preserve">Solla installation - Bubisa Laboratory </t>
  </si>
  <si>
    <t>Bubisa Health Centre</t>
  </si>
  <si>
    <t>Construction of new staff house at Bubisa Health centre</t>
  </si>
  <si>
    <t xml:space="preserve">Solar installation - Shurr Laboratory </t>
  </si>
  <si>
    <t>Shurr dispensary</t>
  </si>
  <si>
    <t>Furnishing/ Equiping  of Shurr dispensary maternity ward</t>
  </si>
  <si>
    <t>Water pipping to Shurr dispensary</t>
  </si>
  <si>
    <t>Fencing of  Shurr dispensary</t>
  </si>
  <si>
    <t>Yaa Galbo</t>
  </si>
  <si>
    <t>Construction of pitlatrines for Cavallera ECCD</t>
  </si>
  <si>
    <t xml:space="preserve">Cavallera </t>
  </si>
  <si>
    <t>Construction of pitlatrines for Bubisa  ECCD</t>
  </si>
  <si>
    <t>Construction of Pit Latrine for Elbeso Nursery</t>
  </si>
  <si>
    <t>Elbeso</t>
  </si>
  <si>
    <t>Purchase of furniture for Elbeso Nursery</t>
  </si>
  <si>
    <t>Construction of Pit Latrine for Qorqa Nursery</t>
  </si>
  <si>
    <t>Qorqa</t>
  </si>
  <si>
    <t>Fencing of Gus dispensary</t>
  </si>
  <si>
    <t>Gus</t>
  </si>
  <si>
    <t>Fencing of Malabot dispensary</t>
  </si>
  <si>
    <t>Installation of solar system on Qorqa dispensary</t>
  </si>
  <si>
    <t>Installation of solar system on Elbeso dispensary</t>
  </si>
  <si>
    <t>Provision of water at Elbeso dispensary</t>
  </si>
  <si>
    <t>Construction of pit latrines at Elbeso dispensary</t>
  </si>
  <si>
    <t xml:space="preserve">Construction of 2no. Shallow wells  at Barambate </t>
  </si>
  <si>
    <t>El-Boru Magado</t>
  </si>
  <si>
    <t>Goricha</t>
  </si>
  <si>
    <t>Construction of 1no. shallow well with hand pump at Bura</t>
  </si>
  <si>
    <t>Bura</t>
  </si>
  <si>
    <t xml:space="preserve">Installation of solar system on and submassible pump in borehole at Ruso Primary school </t>
  </si>
  <si>
    <t>Purchase 10,000ltrs of plastic tank for Qabtho manyatta</t>
  </si>
  <si>
    <t>Reverse osmosis water system for Gus town</t>
  </si>
  <si>
    <t>Expansion of North Horr water suply; constructing 6 additional water kiosks and service lines water meters</t>
  </si>
  <si>
    <t>Town Environs</t>
  </si>
  <si>
    <t>Completion of Malabot water supply by connecting the borehole water source to the distribution tank at the hill in town 2.5Km with 2 inch GI pipes</t>
  </si>
  <si>
    <t>Construction of distribution lines to Malabot Primary School, Tura Elema and Ali Duba villages with 1.5 inch UPVC pipes for 4Km and construction of 3 no. kiosks</t>
  </si>
  <si>
    <t>Malalba</t>
  </si>
  <si>
    <t>Construction of 2no. shallow wells at Qorqa Dika</t>
  </si>
  <si>
    <t>Rehabilitation of Qorqa Gutha borehole through development and replacing draw pipes</t>
  </si>
  <si>
    <t>North Horr town</t>
  </si>
  <si>
    <t>Furniture For Dinning Hall-Hula Hula Primary School</t>
  </si>
  <si>
    <t>Parkishon</t>
  </si>
  <si>
    <t>Leiyai</t>
  </si>
  <si>
    <t>Kituruni</t>
  </si>
  <si>
    <t>Construction of a Labaratory Equiping It &amp; Fencing of Karare Health Center</t>
  </si>
  <si>
    <t>Spot Improvement Of Feeder Roads In Hula Hula</t>
  </si>
  <si>
    <t>Dakabaricha Health Centre-Equiping,Eletricfication and Fencing</t>
  </si>
  <si>
    <t>Renovation of Jirime Dispensary</t>
  </si>
  <si>
    <t>Rehabilitation of Haite well</t>
  </si>
  <si>
    <t>Marsabit central</t>
  </si>
  <si>
    <t>Additional Security light at Mountain location</t>
  </si>
  <si>
    <t>Mountain Location</t>
  </si>
  <si>
    <t>Solar/power supply at Jirime Dispensary</t>
  </si>
  <si>
    <t>Improvement of inner(feeder) roads in villages</t>
  </si>
  <si>
    <t>Mt.Location</t>
  </si>
  <si>
    <t>Construction of staff house and double toilet at kubi Bagasa Dispensary</t>
  </si>
  <si>
    <t>Kubi Bagasa</t>
  </si>
  <si>
    <t>Jaldesa Borehole</t>
  </si>
  <si>
    <t>GoroRukesa</t>
  </si>
  <si>
    <t>Equipping Manyatta Jillo Labaratory</t>
  </si>
  <si>
    <t>Manyatta Jillo</t>
  </si>
  <si>
    <t>Dirib</t>
  </si>
  <si>
    <t>Construction of road from Badassa refugee village to Chorora Village</t>
  </si>
  <si>
    <t>Badassa</t>
  </si>
  <si>
    <t>Marsabit  Central</t>
  </si>
  <si>
    <t>Connection of electricity to Gadamoji Social Hall</t>
  </si>
  <si>
    <t>Title deeds for Dub Goba Village</t>
  </si>
  <si>
    <t>Dub Goba</t>
  </si>
  <si>
    <t>Equiping social Hall at Kubi Bagassa</t>
  </si>
  <si>
    <t>Levelling of St.Peters play ground for youth</t>
  </si>
  <si>
    <t>HEILU- MANYATTA</t>
  </si>
  <si>
    <t>GOLBO WARD</t>
  </si>
  <si>
    <t>KORR/ NGURUNIT</t>
  </si>
  <si>
    <t xml:space="preserve">MARSABIT CENTRAL </t>
  </si>
  <si>
    <t>MAIKONA</t>
  </si>
  <si>
    <t>DUKANA</t>
  </si>
  <si>
    <t>NORTH HORR</t>
  </si>
  <si>
    <t>SAGANTE/JALDESA</t>
  </si>
  <si>
    <t>LOIYANGALANI</t>
  </si>
  <si>
    <t>LAISAMIS</t>
  </si>
  <si>
    <t>TOWNSHIP</t>
  </si>
  <si>
    <t>TURBI</t>
  </si>
  <si>
    <t>ILLERET</t>
  </si>
  <si>
    <t>URAN</t>
  </si>
  <si>
    <t>KARARE</t>
  </si>
  <si>
    <t>OBBU</t>
  </si>
  <si>
    <t>BUTIYE</t>
  </si>
  <si>
    <t>Purchase of Exhauster</t>
  </si>
  <si>
    <t>El Gadhe</t>
  </si>
  <si>
    <t>Design of spate irrigation for Kurungu in South Horr</t>
  </si>
  <si>
    <t>Promotion of Energy Saving Jikos</t>
  </si>
  <si>
    <t>County wide</t>
  </si>
  <si>
    <t>Low Cost Housing Units</t>
  </si>
  <si>
    <t>Town Urbanization</t>
  </si>
  <si>
    <t>Merille Town</t>
  </si>
  <si>
    <t>North Horr Town</t>
  </si>
  <si>
    <t>Marsabit Stadium Internal Civil Works</t>
  </si>
  <si>
    <t>Marsabit Town</t>
  </si>
  <si>
    <t>Marsabit Hospital</t>
  </si>
  <si>
    <t>Moyale Hospital</t>
  </si>
  <si>
    <t xml:space="preserve">Moyale Hospital </t>
  </si>
  <si>
    <t>Kalacha Hospital</t>
  </si>
  <si>
    <t>Moyale Town</t>
  </si>
  <si>
    <t>Upgrading of Marsabit Town Roads to Bitumen Standard</t>
  </si>
  <si>
    <t>Upgrading of Moyale Town Roads to Bitumen Standard</t>
  </si>
  <si>
    <t>Road Construction from Did Adhi to Dadach Kambi</t>
  </si>
  <si>
    <t>Improvement of road from Dirib to Gombo Vollage</t>
  </si>
  <si>
    <t>Works on Nyayo road from old slaughter house to Nyayo rd</t>
  </si>
  <si>
    <t>Construction of Dakabaricha cultural center kitchen and toilets</t>
  </si>
  <si>
    <t>Completion and equipping of Jua Kali Sheds</t>
  </si>
  <si>
    <t>Construction of Baraza Park at Elebor centre</t>
  </si>
  <si>
    <t>Construction of Baraza Park At Rawan</t>
  </si>
  <si>
    <t>Fitting of grills around the Baraza park for security</t>
  </si>
  <si>
    <t>Construction of Loiyangalani Social Hall</t>
  </si>
  <si>
    <t>Toilet at Maikona Market</t>
  </si>
  <si>
    <t>Deep freezer at Loiy.Co-op.</t>
  </si>
  <si>
    <t>County Wide</t>
  </si>
  <si>
    <t>Desilting of Noong'orio Water Pan</t>
  </si>
  <si>
    <t>Source</t>
  </si>
  <si>
    <t>Amount</t>
  </si>
  <si>
    <t>Own Local Revenue</t>
  </si>
  <si>
    <t>Conditional Allocations</t>
  </si>
  <si>
    <t>User fees foregone</t>
  </si>
  <si>
    <t>RESOURCE ENVELOPE - FY 2017/2018</t>
  </si>
  <si>
    <t>Spot improvement on Kubi Adi -Konongos road</t>
  </si>
  <si>
    <t>Construction of incinerator</t>
  </si>
  <si>
    <t>Constructions of toilets</t>
  </si>
  <si>
    <t>Construction of  toilet facilities for Bales Saru Dispensary</t>
  </si>
  <si>
    <t>Purchase of furniture for Dukana Health Centre</t>
  </si>
  <si>
    <t>Construction of new  staff house at  El Hadi Dispensary</t>
  </si>
  <si>
    <t>Installation of Solar panels for El Hadi Dispensary</t>
  </si>
  <si>
    <t>Supply  of electricity/ Solar system to Telesgaye Dispensary</t>
  </si>
  <si>
    <t>Renovation of Telesgaye Dispensary</t>
  </si>
  <si>
    <t>Purchase of Furniture for Telesgaye Dispensary</t>
  </si>
  <si>
    <t>Illeret Dispensary</t>
  </si>
  <si>
    <t>Construction of Olturot staff house</t>
  </si>
  <si>
    <t>Construction of Arapal staff house</t>
  </si>
  <si>
    <t>Construction of Arapal dispensary toilets</t>
  </si>
  <si>
    <t>Installation of Solar at Arapal Dispensary</t>
  </si>
  <si>
    <t>Loiy. Health Centre Solar System</t>
  </si>
  <si>
    <t>El-Molo Bay Disprensary fencing</t>
  </si>
  <si>
    <t>El-Molo Bay Dispensary water tank &amp; gutters</t>
  </si>
  <si>
    <t>El-Molo Bay Dispensary solar system</t>
  </si>
  <si>
    <t>Public Toilets for Layeni &amp; Komote villages</t>
  </si>
  <si>
    <t>Solar system replacement</t>
  </si>
  <si>
    <t>Purchase of dispensary furniture</t>
  </si>
  <si>
    <t>Construction of  Butiye dispensary staff house</t>
  </si>
  <si>
    <t>Improvement of Illaut Stadium</t>
  </si>
  <si>
    <t>Completion of land surveying &amp; issuance of title deeds  for Godana Abdi,Fan Lafa and Robb Golompo villages</t>
  </si>
  <si>
    <t xml:space="preserve">Additional  security lights for Majengo and Nyayo road </t>
  </si>
  <si>
    <t>Staff Mortgage and Car Loan</t>
  </si>
  <si>
    <t>Solid waste Management</t>
  </si>
  <si>
    <t>Laisamis Town</t>
  </si>
  <si>
    <t>Logologo town</t>
  </si>
  <si>
    <t>loiyangalani town</t>
  </si>
  <si>
    <t>Social Protection Fund</t>
  </si>
  <si>
    <t>DEVELOPMENT</t>
  </si>
  <si>
    <t>RECURRENT</t>
  </si>
  <si>
    <t>Road Maintenance Fuel Levy Fund</t>
  </si>
  <si>
    <t>ESTIMATES</t>
  </si>
  <si>
    <t>Construction of County Assembly chambers</t>
  </si>
  <si>
    <t>Balesa -El Adi</t>
  </si>
  <si>
    <t>Construction of Gatab water source</t>
  </si>
  <si>
    <t>Losikiriachi water supply-piping</t>
  </si>
  <si>
    <t xml:space="preserve">Extension of pipelines and distribution from Lesintima Borehole and Manyatta juu tank </t>
  </si>
  <si>
    <t xml:space="preserve">Implementation of Marsabit master plan </t>
  </si>
  <si>
    <t>Township &amp; environs</t>
  </si>
  <si>
    <t>Proper murraming of Goromuda main road (Moyale polytechnic-Moyale boys junction)</t>
  </si>
  <si>
    <t>Staff Pension Scheme</t>
  </si>
  <si>
    <t>Trade Shows and Exhibitions - Marsabit Lake Turkana Cultural Festival</t>
  </si>
  <si>
    <t>Advertising, Awareness and Publicity Campaigns - Civic Education &amp; Public Participation</t>
  </si>
  <si>
    <t>Management of ambulances</t>
  </si>
  <si>
    <t>Sports Development Programme</t>
  </si>
  <si>
    <t>Youth Development Progamme</t>
  </si>
  <si>
    <t>Grants to Youth Polytechnics</t>
  </si>
  <si>
    <t>Subsidies to Non-Financial Public Enterprises</t>
  </si>
  <si>
    <t>Gender Mainstreaming</t>
  </si>
  <si>
    <t>Pro - Poor/Institutional Support Programme</t>
  </si>
  <si>
    <t>Veterinary vaccines and Supplies</t>
  </si>
  <si>
    <t>Supplies for production(fishing equipment,pasture seeds &amp; bee keeping equipments</t>
  </si>
  <si>
    <t>Purchase of certified seeds - Agricultural Seeds</t>
  </si>
  <si>
    <t>Lands adjudication, Survey and physical Planning</t>
  </si>
  <si>
    <t>County Integrated Development Planning - Development of 2nd CIDP - 2018 -2022</t>
  </si>
  <si>
    <t>Trade Shows and Exhibitions - Annual Miss Tourism Beauty pageant</t>
  </si>
  <si>
    <t>Construction of office</t>
  </si>
  <si>
    <t>HQ</t>
  </si>
  <si>
    <t xml:space="preserve">ERP System - HR MIS </t>
  </si>
  <si>
    <t>Operationalization of Saku Youth Polytechnic</t>
  </si>
  <si>
    <t>Obbu Youth Polytechnic</t>
  </si>
  <si>
    <t>Cold room facility - Toilet &amp; piping</t>
  </si>
  <si>
    <t>Equiping Misa ATC</t>
  </si>
  <si>
    <t>50M3 Masonary Tanks and equipment and guttering - Dukana Slaughter</t>
  </si>
  <si>
    <t>Construction of slaughter house,toilet  &amp;10M3 plastic water tank at Turbi</t>
  </si>
  <si>
    <t>Construction of toilet ,purchase &amp; installation of 10M3 plastic water tank at Bubisa slaughter house</t>
  </si>
  <si>
    <t>Design &amp; implementation of spate irrigation for Elgadhe</t>
  </si>
  <si>
    <t>South-Horr</t>
  </si>
  <si>
    <t>Construction, equipping of ECD with double door toilet at Hadesa</t>
  </si>
  <si>
    <t>Loiy. health Centre Completion</t>
  </si>
  <si>
    <t>Construction of double pit latrines at Bori Junction disp.</t>
  </si>
  <si>
    <t>Provision of 10M3plastic water tank and guttering of Gus dispensary</t>
  </si>
  <si>
    <t>Installation of solar system for Malabot dispensary</t>
  </si>
  <si>
    <t>Provision of 10M3 plastic water tank and guttering of Malabot dispensary</t>
  </si>
  <si>
    <t>Equiping and provision of 10M3 plastic water supply to Qorqa dispensary</t>
  </si>
  <si>
    <t>Construction of pit latrine at Qorqa dispensary staff house</t>
  </si>
  <si>
    <t>Fencing of Marsabit Referral Hospital - additional funding</t>
  </si>
  <si>
    <t>Fencing of Moyale Hospital - additional funding</t>
  </si>
  <si>
    <t xml:space="preserve">Construction of Maternity Wing </t>
  </si>
  <si>
    <t xml:space="preserve">Construction of Maternity wing </t>
  </si>
  <si>
    <t>Marsabit Health Complex - additional funding</t>
  </si>
  <si>
    <t>Marsabit Referral Hospital</t>
  </si>
  <si>
    <t>Construction of Bus Park for Moyale Town</t>
  </si>
  <si>
    <t>Did Adhi/Dadach Kambi</t>
  </si>
  <si>
    <t>El-molo Bay Dispensary water tank &amp; gutters</t>
  </si>
  <si>
    <t>Construction of Marsabit Modern Market - additional funding for the ongoing project</t>
  </si>
  <si>
    <t>Bonqole Resort - additional funding</t>
  </si>
  <si>
    <t>Completion of Loglogo market</t>
  </si>
  <si>
    <t xml:space="preserve">Kalacha Bandas </t>
  </si>
  <si>
    <t>ICT Infrastructure Development</t>
  </si>
  <si>
    <t>County Headquarters</t>
  </si>
  <si>
    <t>Drainage for maternity</t>
  </si>
  <si>
    <t>Solar light for OPD</t>
  </si>
  <si>
    <t xml:space="preserve">Laisamis- Thurusi Water Rehabilitation </t>
  </si>
  <si>
    <t>Lomugul pipeline &amp; plastic Tank</t>
  </si>
  <si>
    <t>Executive gates (2) and Security house at Governor's office</t>
  </si>
  <si>
    <t>TOTAL - COUNTY EXECUTIVE</t>
  </si>
  <si>
    <t>TOTAL - COUNTY ASSEMBLY</t>
  </si>
  <si>
    <t>Erection of Parking Shades at Governor's Office</t>
  </si>
  <si>
    <t>Construction and equipping of Social Hall at Goro Rukesa</t>
  </si>
  <si>
    <t>Goro Rukesa</t>
  </si>
  <si>
    <t>Construction of 50M3 undergroung water tank at Kubi Gadhamoji Social Hall</t>
  </si>
  <si>
    <t>Kubi Gadhamoji</t>
  </si>
  <si>
    <t>Equipping of resource centre cultural gallery</t>
  </si>
  <si>
    <t>Purchase of wheel chairs and walking aid for PWD</t>
  </si>
  <si>
    <t>Construction of VIP latrines at Culture Office</t>
  </si>
  <si>
    <t>Rehabilitation of tanks and troughs</t>
  </si>
  <si>
    <t>Construction of Cultural village at resource centre</t>
  </si>
  <si>
    <t>Solar security light at county headquarter</t>
  </si>
  <si>
    <t>Monitoring and Evaluation</t>
  </si>
  <si>
    <t>Development of internal Audit system</t>
  </si>
  <si>
    <t xml:space="preserve">Advertising, Awareness and Publicity Campaigns </t>
  </si>
  <si>
    <t>Budget Public Participation</t>
  </si>
  <si>
    <t>Drought Mitigation Programme</t>
  </si>
  <si>
    <t>Sololo Slaughter house Masonary tank and guttering - 50M3</t>
  </si>
  <si>
    <t>Special Programme for Drought Mitigation</t>
  </si>
  <si>
    <t>Anona maternity fencing and Toliet</t>
  </si>
  <si>
    <t>Obbu maternity fencing and toilet</t>
  </si>
  <si>
    <t>Fencing of Odda dispensary</t>
  </si>
  <si>
    <t>Support to agricultural mechanisation Services</t>
  </si>
  <si>
    <t>County Assembly</t>
  </si>
  <si>
    <t>County Executive</t>
  </si>
  <si>
    <t>Finance &amp; Economic Planning</t>
  </si>
  <si>
    <t>Agriculture, Livestock &amp; Fisheries</t>
  </si>
  <si>
    <t>Education, Skill Development, Youth &amp; Sports</t>
  </si>
  <si>
    <t>Administration, Coordination &amp; ICT</t>
  </si>
  <si>
    <t>Roads &amp; Public Services</t>
  </si>
  <si>
    <t>Water, Environment &amp; Natural Resources</t>
  </si>
  <si>
    <t>County Department</t>
  </si>
  <si>
    <t>Code</t>
  </si>
  <si>
    <t>Trade, Tourism, Industry &amp; Enterprise Development</t>
  </si>
  <si>
    <t>Recurrent</t>
  </si>
  <si>
    <t>Development</t>
  </si>
  <si>
    <t>MARSABIT COUNTY</t>
  </si>
  <si>
    <t>SUMMARY OF RECURRENT AND DEVELOPMENT EXPENDITURE ESTIMATES - FY 2017/18</t>
  </si>
  <si>
    <t>World Bank</t>
  </si>
  <si>
    <t>ASSEMBLY</t>
  </si>
  <si>
    <t>GVN OFFICE</t>
  </si>
  <si>
    <t>TREASURY</t>
  </si>
  <si>
    <t>SALARY ESTIMATES</t>
  </si>
  <si>
    <t>AMOUNT</t>
  </si>
  <si>
    <t>CA - Development of Youth Polytechnics</t>
  </si>
  <si>
    <t>Domestic Payables from previous financial years</t>
  </si>
  <si>
    <t>Payables from Previous Financial Periods</t>
  </si>
  <si>
    <t>County HQ</t>
  </si>
  <si>
    <t>Kenya Devolution Support Programme for Results (KDSP)</t>
  </si>
  <si>
    <t>Assemby Headquarters</t>
  </si>
  <si>
    <t>KDSP - Kenya Devolution Support Programme</t>
  </si>
  <si>
    <t xml:space="preserve"> RECURRENT EXPENDITURE ESTIMATES SUMMARY 2017/2018</t>
  </si>
  <si>
    <t xml:space="preserve"> Basic  Salaries + allowances</t>
  </si>
  <si>
    <t xml:space="preserve">3463: DEPARTMENT OF  FINANCE &amp; ECONOMIC PLANNING </t>
  </si>
  <si>
    <t>Design &amp; implementation of spate irrigation at Jaldesa ,Kubi Qallo &amp; Ilpus</t>
  </si>
  <si>
    <t>Design &amp; implementation of drip irrigation at Ririma</t>
  </si>
  <si>
    <t>Ririma</t>
  </si>
  <si>
    <t>Micro -irrigation support at Walda</t>
  </si>
  <si>
    <t xml:space="preserve">Class room; Construction and equipping -Korolle Boys' Secondary </t>
  </si>
  <si>
    <t>Construction of toillet and a  kitchen for ECD at Teso primary</t>
  </si>
  <si>
    <t>Construction, equipping of ECD with double door toilet at Funan Qumbi</t>
  </si>
  <si>
    <t>Construction, equipping of ECD with dooble door toilet at Lalamo</t>
  </si>
  <si>
    <t>Lalamo</t>
  </si>
  <si>
    <t>Diid Adhi</t>
  </si>
  <si>
    <t>ECD at Manyatta Diid Adhi</t>
  </si>
  <si>
    <t>ECD at Salle Village</t>
  </si>
  <si>
    <t>Balah/Salle</t>
  </si>
  <si>
    <t>ECD at Rengumo Village</t>
  </si>
  <si>
    <t>Rengumo Village</t>
  </si>
  <si>
    <t>ECD at Manyatta Galgallo Halakhe</t>
  </si>
  <si>
    <t>Gar Qarsa</t>
  </si>
  <si>
    <t>Fencing of Kargi Health Centre</t>
  </si>
  <si>
    <t>Solar system , shelves anf fridge balah dispensary</t>
  </si>
  <si>
    <t>ECD at Manyatta Jaldes Bante</t>
  </si>
  <si>
    <t>Manyatta Jaldes Bante</t>
  </si>
  <si>
    <t>Equipping of Kargi Health Centre</t>
  </si>
  <si>
    <t>Equipping Kurkum Dispensary</t>
  </si>
  <si>
    <t>Lab equipment ngurunit health centre</t>
  </si>
  <si>
    <t>Equipping and solar connection at Elle Bor Dispensary</t>
  </si>
  <si>
    <t>Elle Bor</t>
  </si>
  <si>
    <t>Staff House at Rawan Dispensary</t>
  </si>
  <si>
    <t>Construction and equipping of dispensary at Lalamo</t>
  </si>
  <si>
    <t>Equipping of Nana Health Centre</t>
  </si>
  <si>
    <t>Solar for the maternity ward</t>
  </si>
  <si>
    <t>Renovation and equipping of Uran dispensary</t>
  </si>
  <si>
    <t>Construction of Maternity at Goro Rukesa Health Center</t>
  </si>
  <si>
    <t>Construction of leiyai Dispensary Staff Quarters</t>
  </si>
  <si>
    <t>Equiping of Maternity,Water Tank &amp; Sceptic Tank at Kituruni</t>
  </si>
  <si>
    <t>Construction of Parkishon Labaratory</t>
  </si>
  <si>
    <t>Fencing of Old Cemetery at Hula Hula</t>
  </si>
  <si>
    <t>Construction of Double toilet at Jaldesa Dispensaty</t>
  </si>
  <si>
    <t>Construction of staff house at Goro Rukesa</t>
  </si>
  <si>
    <t>Installation of solar at Dadach Kambi Dispensary</t>
  </si>
  <si>
    <t>Kubi Qallo</t>
  </si>
  <si>
    <t>Electricity Connection - Laisamis Hospital</t>
  </si>
  <si>
    <t>Electricity connection at Dub Gobba Dispensary</t>
  </si>
  <si>
    <t>Dub Gobba</t>
  </si>
  <si>
    <t>Electricity connection for Heillu maternity</t>
  </si>
  <si>
    <t>Heillu Maternity</t>
  </si>
  <si>
    <t>Equipping of Heilu Maternity</t>
  </si>
  <si>
    <t>Electricity connection at Songa Dispensary</t>
  </si>
  <si>
    <t>3-phase electricity connection to Marsabit Hospital</t>
  </si>
  <si>
    <t>CT scan machine at Marsabit Hospital</t>
  </si>
  <si>
    <t xml:space="preserve">Additional Security lights for Jirime </t>
  </si>
  <si>
    <t>Solar street lights</t>
  </si>
  <si>
    <t>Uran/Golole</t>
  </si>
  <si>
    <t>Installation of 11(Eleven) transormers at Waqo Hod'a, Ilman Dida,Ilman Keyate,Mata Arba,Waqo Jaldesa,Waqo Bupi,Ilman Charfi,Tari Adhi,Choror vilage,Dub Gindole and Isaacko Umuro</t>
  </si>
  <si>
    <t>Qilta/Sagante</t>
  </si>
  <si>
    <t>Dirib/Jaldesa</t>
  </si>
  <si>
    <t>Solid waste Management collection &amp; construction of dump site</t>
  </si>
  <si>
    <t>Karare/Hula Hula</t>
  </si>
  <si>
    <t>Spot improvement of A2 to Bori Town</t>
  </si>
  <si>
    <t>Spot improvement on A2 to Uran road</t>
  </si>
  <si>
    <t>Spot improvement on Logologo - Ngurnit road</t>
  </si>
  <si>
    <t>Rawan- Funan Qumbi road</t>
  </si>
  <si>
    <t>Sololo - Golole Road</t>
  </si>
  <si>
    <t>Badasa-Ilpus-Kituruni</t>
  </si>
  <si>
    <t>Kiwanja Ndege-St. Peter's-Kubi Bagasa</t>
  </si>
  <si>
    <t>Jirime Dispensary-Gotu Gardi</t>
  </si>
  <si>
    <t xml:space="preserve">Contruction of 50m3 mansory tank at Dakhane Borehole </t>
  </si>
  <si>
    <t>Intallation of solar buster pump at main tank and extension towards Elegela/Uyam manyattas</t>
  </si>
  <si>
    <t>Water connection to Kurkum dispensary</t>
  </si>
  <si>
    <t>Solar installation, Gen set, raised 50M3 steel tank and civil works at Ririma Borehole</t>
  </si>
  <si>
    <t>Hali Surwa borehole repair</t>
  </si>
  <si>
    <t>Drilling and equiping of borehole at Ongeli</t>
  </si>
  <si>
    <t>Drilling and equipping of borehole at Yell</t>
  </si>
  <si>
    <t>Yell</t>
  </si>
  <si>
    <t>Piping to Heillu</t>
  </si>
  <si>
    <t>Heillu</t>
  </si>
  <si>
    <t>Godoma</t>
  </si>
  <si>
    <t>Equipping of borehole at Godoma Didiko</t>
  </si>
  <si>
    <t>Driiling and equipping of borehole at Godoma</t>
  </si>
  <si>
    <t>Drilling and equiing of Golole Borehole</t>
  </si>
  <si>
    <t>Drilling and equipping of Liban Faayo Borehole</t>
  </si>
  <si>
    <t>Piping within Golole from the main borehole</t>
  </si>
  <si>
    <t>Drilling and equipping of borehole at Funan Qumbi</t>
  </si>
  <si>
    <t>Drilling and equipping of borehole at Elle Dimtu</t>
  </si>
  <si>
    <t>Elle Dimtu</t>
  </si>
  <si>
    <t>Construction of dam at Elle Dimtu</t>
  </si>
  <si>
    <t>Desilting of Anona Dam</t>
  </si>
  <si>
    <t>Construction of 100m3 underground tank at Lalamo</t>
  </si>
  <si>
    <t>Piping of water from the source to Ilpus village</t>
  </si>
  <si>
    <t>Ilpus</t>
  </si>
  <si>
    <t>Bongole Water Source Imrovement and Piping</t>
  </si>
  <si>
    <t>Drilling and equipping of borehole at Kubi Bagasa</t>
  </si>
  <si>
    <t>Drilling and equipping of borehole at Boru Haro</t>
  </si>
  <si>
    <t>Boru Haro</t>
  </si>
  <si>
    <t>Equipping of Jaldesa II borehole</t>
  </si>
  <si>
    <t>Desilting of Guyo Tendeke water pan</t>
  </si>
  <si>
    <t>Guyo Tendeke</t>
  </si>
  <si>
    <t>Desilting of Golole water pan</t>
  </si>
  <si>
    <t>Desilting of Huka Adhi Water pan</t>
  </si>
  <si>
    <t>Huka Adhi</t>
  </si>
  <si>
    <t>Piping of water from Kubi Qallo to Galgallo Halakhe</t>
  </si>
  <si>
    <t>Revival of water kiosks at Manyatta Jillo and Dub Gobba</t>
  </si>
  <si>
    <t>Manyatta Jillo/Dub Gobba</t>
  </si>
  <si>
    <t>Piping of water from Marsabit Forest to Badasa</t>
  </si>
  <si>
    <t>Badasa</t>
  </si>
  <si>
    <t>Purchase and installation of desalination plant at Urawen borehole</t>
  </si>
  <si>
    <t>Urawen</t>
  </si>
  <si>
    <t>Drilling and equiping of borehole at Balah</t>
  </si>
  <si>
    <t>Purchase and installation of desalination plant at Elle Bor borehole</t>
  </si>
  <si>
    <t>Construction of 100M3 at Jaldesa II borehole</t>
  </si>
  <si>
    <t>Desilting of Nura Boru water pan</t>
  </si>
  <si>
    <t>Desilting of Godh Looni water pan</t>
  </si>
  <si>
    <t>Godh Looni</t>
  </si>
  <si>
    <t>Desilting of Godh Golole water pan</t>
  </si>
  <si>
    <t>Godh Golole</t>
  </si>
  <si>
    <t>Construction of Marsabit Medical Training College</t>
  </si>
  <si>
    <t>Support to agricultural mechanisation Services &amp; Purchase of one tractor</t>
  </si>
  <si>
    <t>Rehabilitation of borehole at Kobb</t>
  </si>
  <si>
    <t>Kobb</t>
  </si>
  <si>
    <t>Construction of Governor's office at Moyale</t>
  </si>
  <si>
    <t>Drilling and equipping of borehole at Sarai</t>
  </si>
  <si>
    <t>Piping Merille water supply</t>
  </si>
  <si>
    <t>Equipping of ECD and construction of toilet at Sunyuro</t>
  </si>
  <si>
    <t>Sunyuro</t>
  </si>
  <si>
    <t>Equipping of ECD and construction of toilet at Dakhane</t>
  </si>
  <si>
    <t>Dakhane</t>
  </si>
  <si>
    <t>Manyatta Jillo-Kubi Qallo- Qoran Gogo Rd</t>
  </si>
  <si>
    <t>Spot Improvement on Amballo - Demmo Road</t>
  </si>
  <si>
    <t>Godoma/watiti</t>
  </si>
  <si>
    <t>Dambala Fachana</t>
  </si>
  <si>
    <t>Kubi Bagasa-Haro Dokatu-Qorobo</t>
  </si>
  <si>
    <t>Jaldesa/Kubi Qallo/Ilpus</t>
  </si>
  <si>
    <t>SUB-COUNTY</t>
  </si>
  <si>
    <t>MOYALE</t>
  </si>
  <si>
    <t>SAKU</t>
  </si>
  <si>
    <t>SOLOLO</t>
  </si>
  <si>
    <t>SUB TOTAL</t>
  </si>
  <si>
    <t>ADMIN</t>
  </si>
  <si>
    <t>PHYSICAL PLANNING</t>
  </si>
  <si>
    <t>ANALYSIS OF WARD ESTIMATES - FY 2017/2018</t>
  </si>
  <si>
    <t>Purchase of boreholes maintenance equipments - 2 no.</t>
  </si>
  <si>
    <t>SUMMARY OF RECURRENT AND DEVELOPMENT EXPENDITURE ESTIMATES - FY 2017/18  - ANALYSIS</t>
  </si>
  <si>
    <t>CURRENT</t>
  </si>
  <si>
    <t>MARCH</t>
  </si>
  <si>
    <t>Free Maternal Care</t>
  </si>
  <si>
    <t>VARIANCE</t>
  </si>
  <si>
    <t>Departmental Salaries</t>
  </si>
  <si>
    <t>Rec</t>
  </si>
  <si>
    <t>Dev</t>
  </si>
  <si>
    <t>Security Operations -peace building meeting with elders</t>
  </si>
  <si>
    <t>Cross-Cutting</t>
  </si>
  <si>
    <t>Saku</t>
  </si>
  <si>
    <t>Dambala Fachana -Mukh Gura -Gada Korma Road</t>
  </si>
  <si>
    <t>Olturot- Arapal Road</t>
  </si>
  <si>
    <t>Godoma -Watiti-Gambala Rd</t>
  </si>
  <si>
    <t>Completion and equipping of  handicraft centre</t>
  </si>
  <si>
    <t>Saku sub County</t>
  </si>
  <si>
    <t>Security Operations/Cohesion, peace building and Disaster Management</t>
  </si>
  <si>
    <t>Maternal Child Health Care Programme</t>
  </si>
  <si>
    <t>Construction of road from Kachacha to Dirib</t>
  </si>
  <si>
    <t>Moyale sub County</t>
  </si>
  <si>
    <t>ANALYSIS OF DEPARTMENTAL PRIORITIES - FY 2017/2018</t>
  </si>
  <si>
    <t>Training expenses/community startegy</t>
  </si>
  <si>
    <t>Purchase of Office Furniture and Fittings for Marsabit Town Administrator</t>
  </si>
  <si>
    <t>Fencing of Town Administrator's Office</t>
  </si>
  <si>
    <t>Construction of sewage treatment oxidation pond</t>
  </si>
  <si>
    <t>Marsabit town</t>
  </si>
  <si>
    <t>Youth, Women and PWD Empowerment Programme</t>
  </si>
  <si>
    <t>Moyale Township</t>
  </si>
  <si>
    <t xml:space="preserve">Purchase of Rescue Boat </t>
  </si>
  <si>
    <t>Food and Rations - ECD Meal Programme</t>
  </si>
  <si>
    <t>North Sub County - Fuel Levy Fund</t>
  </si>
  <si>
    <t>Provision of NHIF insurance cover for the elderly and the vulnerable population - Pro-Poor Health Support Programme</t>
  </si>
  <si>
    <t>CA - DANIDA UHC Health Programme Support</t>
  </si>
  <si>
    <t>Pre-feasibility, Feasibility and Appraisal Studies - Development of Municipal Charter</t>
  </si>
  <si>
    <t>REVENUE ESTIMATES FY 2017/2018</t>
  </si>
  <si>
    <t>No</t>
  </si>
  <si>
    <t>Revenue Stream</t>
  </si>
  <si>
    <t>Annual Targeted Revenue  (Kshs.)</t>
  </si>
  <si>
    <t>CA - Kenya Devolution Support Programme</t>
  </si>
  <si>
    <t>CA- DANIDA UHC Health Programme Support</t>
  </si>
  <si>
    <t>Market Charges</t>
  </si>
  <si>
    <t>Livestock Charges</t>
  </si>
  <si>
    <t>Land Transaction Charges</t>
  </si>
  <si>
    <t>Royalties</t>
  </si>
  <si>
    <t>Plan Approval</t>
  </si>
  <si>
    <t>Slaughter</t>
  </si>
  <si>
    <t>Scrap Metal</t>
  </si>
  <si>
    <t>Cement</t>
  </si>
  <si>
    <t>Single business permit</t>
  </si>
  <si>
    <t>Produce</t>
  </si>
  <si>
    <t>Miscellenous charges</t>
  </si>
  <si>
    <t>Lease Rentals</t>
  </si>
  <si>
    <t>Hiring of Hall/Stadium</t>
  </si>
  <si>
    <t>Liquor Licence</t>
  </si>
  <si>
    <t>Public health</t>
  </si>
  <si>
    <t>Hospital</t>
  </si>
  <si>
    <t>AMS</t>
  </si>
  <si>
    <t>Weights and Measures</t>
  </si>
  <si>
    <t>Vetenary- Meat Inspection</t>
  </si>
  <si>
    <t>Water Bill</t>
  </si>
  <si>
    <t>Sale of Tender Documents</t>
  </si>
  <si>
    <t>Piping from Mpagas borehole to Mpagas Primary School</t>
  </si>
  <si>
    <t>Loiyangani</t>
  </si>
  <si>
    <t>Sarima</t>
  </si>
  <si>
    <t>Construction, equipping of ECD with dooble door toilet at Qonqom</t>
  </si>
  <si>
    <t xml:space="preserve">Spot improvement of Boqe to Daq’ane </t>
  </si>
  <si>
    <t xml:space="preserve">Maikona junction to Hurri Hills road and various culverts </t>
  </si>
  <si>
    <t>Boqe</t>
  </si>
  <si>
    <t xml:space="preserve">Chari Ashe – Bura road </t>
  </si>
  <si>
    <t>North horr –Qorqa diqaa road</t>
  </si>
  <si>
    <t xml:space="preserve">Gas- Barambate road </t>
  </si>
  <si>
    <t>bubisa</t>
  </si>
  <si>
    <t>Drilling of Borehole at Katelo Demo</t>
  </si>
  <si>
    <t>New genset for Ndikir Borhehole</t>
  </si>
  <si>
    <t xml:space="preserve">100 plastic water tanks of 5,000 litres for Dakabaricha </t>
  </si>
  <si>
    <t xml:space="preserve">100 plastic water tanks of 5,000 litres for Mountain </t>
  </si>
  <si>
    <t xml:space="preserve">Piping of water from Segel to Settlement village </t>
  </si>
  <si>
    <t xml:space="preserve">60 plastic water tanks of 5,000 litres for Jirime </t>
  </si>
  <si>
    <t xml:space="preserve">14 water tanks of 10,000 litres for Karatina community </t>
  </si>
  <si>
    <t xml:space="preserve">De-silting of the water pan for Hulahula community </t>
  </si>
  <si>
    <t xml:space="preserve">Songa primary school fence, gate, electricity connection for the classes and teachers quarters </t>
  </si>
  <si>
    <t xml:space="preserve">Provission of unit huts at Bura </t>
  </si>
  <si>
    <t>equipping gas dispensary lab</t>
  </si>
  <si>
    <t>Piping water from El Gathe to El Butha</t>
  </si>
  <si>
    <t>ElGathe</t>
  </si>
  <si>
    <t>Katelo Demo</t>
  </si>
  <si>
    <t>Drilling of borehole at Weltei</t>
  </si>
  <si>
    <t xml:space="preserve">100 plastic water tanks of 5,000 litres  for Manyatta Ginda,50 for Ajaa Tisa,25 for Nyayo Road </t>
  </si>
  <si>
    <t>Karatina</t>
  </si>
  <si>
    <t>Purchase of new gen set for gudas borehole</t>
  </si>
  <si>
    <t>Repair and replacement of water pipes from main source to Bule Warabesa through town and manyatta father</t>
  </si>
  <si>
    <t>Construction of  100m3 Underground tank at Dambala Dima</t>
  </si>
  <si>
    <t>Yaa sharbanna</t>
  </si>
  <si>
    <t>Dambala Dima</t>
  </si>
  <si>
    <t xml:space="preserve">Fencing of underground tank at Yaa Sharbanna </t>
  </si>
  <si>
    <t>Drilling of Mado Adhi borehole</t>
  </si>
  <si>
    <t>Mukh Gurra</t>
  </si>
  <si>
    <t>Desilting of Boru Jaldesa water pan</t>
  </si>
  <si>
    <t xml:space="preserve">Drilling of borehole,equipping and construction of central distribution reserviour at Goricha </t>
  </si>
  <si>
    <t>Protection and Construction of 1no. shallow wells at El-Boru Magado</t>
  </si>
  <si>
    <t>Purchase and installation of solar system in Malalba borehole</t>
  </si>
  <si>
    <t>Drilling of borehole,equipping and construction of central distribution reserviour at goricha and supply of water to chororte and el-Isacko Malla</t>
  </si>
  <si>
    <t>Goricha/Chororte/ El Isacko Malla</t>
  </si>
  <si>
    <t>Construction of Golole - Yashare road</t>
  </si>
  <si>
    <t xml:space="preserve">Slab at wolena Damatu be constructed </t>
  </si>
  <si>
    <t>Walena Damatu</t>
  </si>
  <si>
    <t>El Yibo</t>
  </si>
  <si>
    <t>Repair of brigde at El Yibo</t>
  </si>
  <si>
    <t>Loiyangani village rd</t>
  </si>
  <si>
    <t>Bubisa – Agargabo Rd</t>
  </si>
  <si>
    <t>Burgabo – Ithitho Rd</t>
  </si>
  <si>
    <t>Oronder – Mudhe Rd</t>
  </si>
  <si>
    <t>Oronder</t>
  </si>
  <si>
    <t>Construction of Illeret - El Nyaburka road</t>
  </si>
  <si>
    <t>Chari Ashe</t>
  </si>
  <si>
    <t>Construction of Gurra Adhi road</t>
  </si>
  <si>
    <t>Gura Adhi</t>
  </si>
  <si>
    <t xml:space="preserve">Construction of new motorable road between Sololo and Abbo Manyatta </t>
  </si>
  <si>
    <t>Abbo Village</t>
  </si>
  <si>
    <t xml:space="preserve">Construction of new motorable road between Sololo and Aria </t>
  </si>
  <si>
    <t>Aria</t>
  </si>
  <si>
    <t xml:space="preserve">Bush clearance on Mado Adhi &amp; Mata Sadden road </t>
  </si>
  <si>
    <t>Mata Saden</t>
  </si>
  <si>
    <t>Construction of Dadach Lakole dispensary</t>
  </si>
  <si>
    <t>Dadach Lakole</t>
  </si>
  <si>
    <t xml:space="preserve">Furnishing of Yaa Galbo ECD </t>
  </si>
  <si>
    <t>Furnishing of Burgabo ECD</t>
  </si>
  <si>
    <t>Provision of Unit hut for Demo village ECCD schools</t>
  </si>
  <si>
    <t>Construction of ECD class and 2 pit latrines</t>
  </si>
  <si>
    <t>Lomadang</t>
  </si>
  <si>
    <t xml:space="preserve">Provission of unit hut at Durte </t>
  </si>
  <si>
    <t xml:space="preserve">Provission of unit hut at Konongos </t>
  </si>
  <si>
    <t>Durte</t>
  </si>
  <si>
    <t>Konongos</t>
  </si>
  <si>
    <t>Renovation and equipping of ECD at Abbo Manyatta Village</t>
  </si>
  <si>
    <t>Construction, equipping of ECD with dooble door toilet at Funan Nyatta</t>
  </si>
  <si>
    <t>Funa Nyatta</t>
  </si>
  <si>
    <t>Qonqom</t>
  </si>
  <si>
    <t>Construction of ECD class at Holale pry sch</t>
  </si>
  <si>
    <t>Holale pry</t>
  </si>
  <si>
    <t>Construction of ECD class and double pit latrine at Sarima</t>
  </si>
  <si>
    <t>Construction of pit latrine and furnishing of Mude unit hut ECD</t>
  </si>
  <si>
    <t>Equpping of Loglogo health centre lab</t>
  </si>
  <si>
    <t>Loglogo Health Centre</t>
  </si>
  <si>
    <t>Renovation and furnishing of El Hadi maternity</t>
  </si>
  <si>
    <t>Fencing of Dukana health centre</t>
  </si>
  <si>
    <t>Equpping Gas dispensary lab</t>
  </si>
  <si>
    <t xml:space="preserve">Construction of laboratory </t>
  </si>
  <si>
    <t>Construction of cattle crash, holding yard and loading ramp</t>
  </si>
  <si>
    <t>Midroc borehole</t>
  </si>
  <si>
    <t>Support to Moyale Special School</t>
  </si>
  <si>
    <t xml:space="preserve"> Recurrent </t>
  </si>
  <si>
    <t xml:space="preserve"> Development </t>
  </si>
  <si>
    <t xml:space="preserve"> Total </t>
  </si>
  <si>
    <t>approved budget 2017/18</t>
  </si>
  <si>
    <t>SUPPLEMENTARY</t>
  </si>
</sst>
</file>

<file path=xl/styles.xml><?xml version="1.0" encoding="utf-8"?>
<styleSheet xmlns="http://schemas.openxmlformats.org/spreadsheetml/2006/main">
  <numFmts count="38">
    <numFmt numFmtId="5" formatCode="&quot;KES&quot;#,##0_);\(&quot;KES&quot;#,##0\)"/>
    <numFmt numFmtId="6" formatCode="&quot;KES&quot;#,##0_);[Red]\(&quot;KES&quot;#,##0\)"/>
    <numFmt numFmtId="7" formatCode="&quot;KES&quot;#,##0.00_);\(&quot;KES&quot;#,##0.00\)"/>
    <numFmt numFmtId="8" formatCode="&quot;KES&quot;#,##0.00_);[Red]\(&quot;KES&quot;#,##0.00\)"/>
    <numFmt numFmtId="42" formatCode="_(&quot;KES&quot;* #,##0_);_(&quot;KES&quot;* \(#,##0\);_(&quot;KES&quot;* &quot;-&quot;_);_(@_)"/>
    <numFmt numFmtId="41" formatCode="_(* #,##0_);_(* \(#,##0\);_(* &quot;-&quot;_);_(@_)"/>
    <numFmt numFmtId="44" formatCode="_(&quot;KES&quot;* #,##0.00_);_(&quot;KES&quot;* \(#,##0.00\);_(&quot;KE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?_-;_-@_-"/>
    <numFmt numFmtId="183" formatCode="_-* #,##0_-;\-* #,##0_-;_-* &quot;-&quot;??_-;_-@_-"/>
    <numFmt numFmtId="184" formatCode="#,##0.00_ ;\-#,##0.00\ "/>
    <numFmt numFmtId="185" formatCode="0.0"/>
    <numFmt numFmtId="186" formatCode="_(* #,##0_);_(* \(#,##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"/>
    <numFmt numFmtId="193" formatCode="[$-809]dd\ mmmm\ yyyy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1"/>
      <name val="Maiandra GD"/>
      <family val="2"/>
    </font>
    <font>
      <sz val="11"/>
      <name val="Maiandra G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Maiandra GD"/>
      <family val="2"/>
    </font>
    <font>
      <b/>
      <sz val="12"/>
      <color indexed="8"/>
      <name val="Maiandra GD"/>
      <family val="2"/>
    </font>
    <font>
      <sz val="11"/>
      <color indexed="8"/>
      <name val="Maiandra GD"/>
      <family val="2"/>
    </font>
    <font>
      <b/>
      <sz val="11"/>
      <color indexed="8"/>
      <name val="Maiandra GD"/>
      <family val="2"/>
    </font>
    <font>
      <b/>
      <sz val="12"/>
      <color indexed="40"/>
      <name val="Maiandra GD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49"/>
      <name val="Times New Roman"/>
      <family val="1"/>
    </font>
    <font>
      <sz val="12"/>
      <color indexed="13"/>
      <name val="Times New Roman"/>
      <family val="1"/>
    </font>
    <font>
      <sz val="12"/>
      <color indexed="8"/>
      <name val="Calibri"/>
      <family val="2"/>
    </font>
    <font>
      <b/>
      <u val="single"/>
      <sz val="10"/>
      <color indexed="62"/>
      <name val="Times New Roman"/>
      <family val="1"/>
    </font>
    <font>
      <b/>
      <sz val="12"/>
      <color indexed="49"/>
      <name val="Maiandra G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Maiandra GD"/>
      <family val="2"/>
    </font>
    <font>
      <b/>
      <sz val="12"/>
      <color theme="1"/>
      <name val="Maiandra GD"/>
      <family val="2"/>
    </font>
    <font>
      <sz val="11"/>
      <color theme="1"/>
      <name val="Maiandra GD"/>
      <family val="2"/>
    </font>
    <font>
      <b/>
      <sz val="11"/>
      <color theme="1"/>
      <name val="Maiandra GD"/>
      <family val="2"/>
    </font>
    <font>
      <b/>
      <sz val="12"/>
      <color rgb="FF00B0F0"/>
      <name val="Maiandra GD"/>
      <family val="2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theme="8"/>
      <name val="Times New Roman"/>
      <family val="1"/>
    </font>
    <font>
      <b/>
      <sz val="11"/>
      <color rgb="FF000000"/>
      <name val="Maiandra GD"/>
      <family val="2"/>
    </font>
    <font>
      <sz val="11"/>
      <color rgb="FF000000"/>
      <name val="Maiandra GD"/>
      <family val="2"/>
    </font>
    <font>
      <sz val="12"/>
      <color rgb="FFFFFF00"/>
      <name val="Times New Roman"/>
      <family val="1"/>
    </font>
    <font>
      <b/>
      <sz val="12"/>
      <color rgb="FF000000"/>
      <name val="Maiandra GD"/>
      <family val="2"/>
    </font>
    <font>
      <sz val="12"/>
      <color rgb="FF000000"/>
      <name val="Maiandra GD"/>
      <family val="2"/>
    </font>
    <font>
      <sz val="12"/>
      <color theme="1"/>
      <name val="Calibri"/>
      <family val="2"/>
    </font>
    <font>
      <b/>
      <u val="single"/>
      <sz val="10"/>
      <color theme="3" tint="0.39998000860214233"/>
      <name val="Times New Roman"/>
      <family val="1"/>
    </font>
    <font>
      <b/>
      <sz val="12"/>
      <color theme="8"/>
      <name val="Maiandra GD"/>
      <family val="2"/>
    </font>
    <font>
      <b/>
      <sz val="12"/>
      <color rgb="FF4BACC6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ashed">
        <color rgb="FFFFC000"/>
      </left>
      <right style="dashed">
        <color rgb="FFFFC000"/>
      </right>
      <top style="dashed">
        <color rgb="FFFFC000"/>
      </top>
      <bottom style="dashed">
        <color rgb="FFFFC000"/>
      </bottom>
    </border>
    <border>
      <left style="dashed">
        <color rgb="FFFFC000"/>
      </left>
      <right style="dashed">
        <color rgb="FFFFC000"/>
      </right>
      <top style="dashed">
        <color rgb="FFFFC000"/>
      </top>
      <bottom>
        <color indexed="63"/>
      </bottom>
    </border>
    <border>
      <left style="dashed">
        <color rgb="FFFFC000"/>
      </left>
      <right style="dashed">
        <color rgb="FFFFC000"/>
      </right>
      <top>
        <color indexed="63"/>
      </top>
      <bottom style="dashed">
        <color rgb="FFFFC000"/>
      </bottom>
    </border>
    <border>
      <left style="dashed">
        <color rgb="FFFFC000"/>
      </left>
      <right style="dashed">
        <color rgb="FFFFC00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dashed">
        <color rgb="FFFFC000"/>
      </right>
      <top style="medium">
        <color rgb="FF0070C0"/>
      </top>
      <bottom style="medium">
        <color rgb="FF0070C0"/>
      </bottom>
    </border>
    <border>
      <left style="dashed">
        <color rgb="FFFFC00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dashed">
        <color rgb="FFFFC000"/>
      </left>
      <right style="dashed">
        <color rgb="FFFFC000"/>
      </right>
      <top>
        <color indexed="63"/>
      </top>
      <bottom>
        <color indexed="63"/>
      </bottom>
    </border>
    <border>
      <left>
        <color indexed="63"/>
      </left>
      <right style="dashed">
        <color rgb="FFFFC000"/>
      </right>
      <top>
        <color indexed="63"/>
      </top>
      <bottom>
        <color indexed="63"/>
      </bottom>
    </border>
    <border>
      <left style="dashed">
        <color rgb="FFFFC000"/>
      </left>
      <right>
        <color indexed="63"/>
      </right>
      <top>
        <color indexed="63"/>
      </top>
      <bottom>
        <color indexed="63"/>
      </bottom>
    </border>
    <border>
      <left style="hair">
        <color rgb="FFFFC000"/>
      </left>
      <right>
        <color indexed="63"/>
      </right>
      <top>
        <color indexed="63"/>
      </top>
      <bottom style="hair">
        <color rgb="FFFFC000"/>
      </bottom>
    </border>
    <border>
      <left>
        <color indexed="63"/>
      </left>
      <right>
        <color indexed="63"/>
      </right>
      <top>
        <color indexed="63"/>
      </top>
      <bottom style="hair">
        <color rgb="FFFFC000"/>
      </bottom>
    </border>
    <border>
      <left>
        <color indexed="63"/>
      </left>
      <right style="hair">
        <color rgb="FFFFC000"/>
      </right>
      <top>
        <color indexed="63"/>
      </top>
      <bottom style="hair">
        <color rgb="FFFFC000"/>
      </bottom>
    </border>
    <border>
      <left style="dashed">
        <color rgb="FFFFC000"/>
      </left>
      <right style="dashed">
        <color rgb="FFFFC000"/>
      </right>
      <top>
        <color indexed="63"/>
      </top>
      <bottom style="medium">
        <color rgb="FF0070C0"/>
      </bottom>
    </border>
    <border>
      <left style="dashed">
        <color rgb="FFFFC000"/>
      </left>
      <right style="dashed">
        <color rgb="FFFFC000"/>
      </right>
      <top style="medium">
        <color rgb="FF0070C0"/>
      </top>
      <bottom>
        <color indexed="63"/>
      </bottom>
    </border>
    <border>
      <left style="dashed">
        <color rgb="FFFFC000"/>
      </left>
      <right style="dashed">
        <color rgb="FFFFC000"/>
      </right>
      <top style="medium">
        <color rgb="FF0070C0"/>
      </top>
      <bottom style="dashed">
        <color rgb="FFFFC000"/>
      </bottom>
    </border>
    <border>
      <left style="dashed">
        <color rgb="FFFFC000"/>
      </left>
      <right style="dashed">
        <color rgb="FFFFC000"/>
      </right>
      <top style="dashed">
        <color rgb="FFFFC000"/>
      </top>
      <bottom style="medium">
        <color rgb="FF0070C0"/>
      </bottom>
    </border>
    <border>
      <left style="dashed">
        <color rgb="FFFFC000"/>
      </left>
      <right>
        <color indexed="63"/>
      </right>
      <top style="medium">
        <color rgb="FF0070C0"/>
      </top>
      <bottom>
        <color indexed="63"/>
      </bottom>
    </border>
    <border>
      <left style="dashed">
        <color rgb="FFFFC000"/>
      </left>
      <right style="dashed">
        <color rgb="FFFFC000"/>
      </right>
      <top style="dashed">
        <color rgb="FFFFC000"/>
      </top>
      <bottom style="dotted">
        <color rgb="FFFFC000"/>
      </bottom>
    </border>
    <border>
      <left style="mediumDashed">
        <color rgb="FFFFC000"/>
      </left>
      <right style="mediumDashed">
        <color rgb="FFFFC000"/>
      </right>
      <top>
        <color indexed="63"/>
      </top>
      <bottom style="mediumDashed">
        <color rgb="FFFFC000"/>
      </bottom>
    </border>
    <border>
      <left>
        <color indexed="63"/>
      </left>
      <right style="dashed">
        <color rgb="FFFFC000"/>
      </right>
      <top style="dashed">
        <color rgb="FFFFC000"/>
      </top>
      <bottom style="dashed">
        <color rgb="FFFFC000"/>
      </bottom>
    </border>
    <border>
      <left style="dashed">
        <color rgb="FFFFC000"/>
      </left>
      <right style="dashed">
        <color rgb="FFFFC000"/>
      </right>
      <top style="mediumDashed">
        <color rgb="FFFFC000"/>
      </top>
      <bottom style="dashed">
        <color rgb="FFFFC000"/>
      </bottom>
    </border>
    <border>
      <left style="dashed">
        <color rgb="FFFFC000"/>
      </left>
      <right>
        <color indexed="63"/>
      </right>
      <top style="dashed">
        <color rgb="FFFFC000"/>
      </top>
      <bottom style="dashed">
        <color rgb="FFFFC000"/>
      </bottom>
    </border>
    <border>
      <left style="mediumDashed">
        <color rgb="FFFFC000"/>
      </left>
      <right>
        <color indexed="63"/>
      </right>
      <top>
        <color indexed="63"/>
      </top>
      <bottom>
        <color indexed="63"/>
      </bottom>
    </border>
    <border>
      <left style="dashed">
        <color rgb="FFFFC000"/>
      </left>
      <right style="dashed">
        <color rgb="FFFFC00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>
        <color indexed="63"/>
      </right>
      <top style="thin">
        <color rgb="FF00B0F0"/>
      </top>
      <bottom style="thin">
        <color rgb="FF00B0F0"/>
      </bottom>
    </border>
    <border>
      <left style="thin">
        <color rgb="FF00B0F0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 style="thin">
        <color rgb="FF00B0F0"/>
      </right>
      <top>
        <color indexed="63"/>
      </top>
      <bottom style="thin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theme="9"/>
      </left>
      <right style="thin">
        <color theme="9"/>
      </right>
      <top style="thin">
        <color theme="9"/>
      </top>
      <bottom style="dashed">
        <color rgb="FFFFC000"/>
      </bottom>
    </border>
    <border>
      <left>
        <color indexed="63"/>
      </left>
      <right>
        <color indexed="63"/>
      </right>
      <top style="dashed">
        <color rgb="FFFFC000"/>
      </top>
      <bottom>
        <color indexed="63"/>
      </bottom>
    </border>
    <border>
      <left style="dashed">
        <color rgb="FFFFC00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70C0"/>
      </right>
      <top style="medium">
        <color rgb="FF00B050"/>
      </top>
      <bottom style="medium">
        <color rgb="FF00B050"/>
      </bottom>
    </border>
    <border>
      <left style="mediumDashed">
        <color rgb="FFFFC000"/>
      </left>
      <right style="dashed">
        <color rgb="FFFFC000"/>
      </right>
      <top style="dashed">
        <color rgb="FFFFC000"/>
      </top>
      <bottom style="dotted">
        <color rgb="FFFFC000"/>
      </bottom>
    </border>
    <border>
      <left style="dotted">
        <color theme="9" tint="-0.24993999302387238"/>
      </left>
      <right style="dotted">
        <color theme="9" tint="-0.24993999302387238"/>
      </right>
      <top style="dotted">
        <color theme="9" tint="-0.24993999302387238"/>
      </top>
      <bottom style="dotted">
        <color theme="9" tint="-0.24993999302387238"/>
      </bottom>
    </border>
    <border>
      <left style="medium">
        <color rgb="FF0070C0"/>
      </left>
      <right style="dashed">
        <color rgb="FFFFC000"/>
      </right>
      <top style="medium">
        <color rgb="FF00B050"/>
      </top>
      <bottom style="medium">
        <color rgb="FF00B050"/>
      </bottom>
    </border>
    <border>
      <left style="dashed">
        <color rgb="FFFFC000"/>
      </left>
      <right style="medium">
        <color rgb="FF0070C0"/>
      </right>
      <top style="medium">
        <color rgb="FF00B050"/>
      </top>
      <bottom style="medium">
        <color rgb="FF00B050"/>
      </bottom>
    </border>
    <border>
      <left style="dashed">
        <color rgb="FFFFC000"/>
      </left>
      <right style="dashed">
        <color rgb="FFFFC00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 style="dashed">
        <color theme="9" tint="-0.24993999302387238"/>
      </left>
      <right style="dashed">
        <color theme="9" tint="-0.24993999302387238"/>
      </right>
      <top style="dashed">
        <color theme="9" tint="-0.24993999302387238"/>
      </top>
      <bottom style="dashed">
        <color theme="9" tint="-0.24993999302387238"/>
      </bottom>
    </border>
    <border>
      <left>
        <color indexed="63"/>
      </left>
      <right style="dotted">
        <color theme="9" tint="-0.24993999302387238"/>
      </right>
      <top style="dotted">
        <color theme="9" tint="-0.24993999302387238"/>
      </top>
      <bottom>
        <color indexed="63"/>
      </bottom>
    </border>
    <border>
      <left style="dotted">
        <color theme="9" tint="-0.24993999302387238"/>
      </left>
      <right style="dotted">
        <color theme="9" tint="-0.24993999302387238"/>
      </right>
      <top style="dotted">
        <color theme="9" tint="-0.24993999302387238"/>
      </top>
      <bottom>
        <color indexed="63"/>
      </bottom>
    </border>
    <border>
      <left>
        <color indexed="63"/>
      </left>
      <right style="dotted">
        <color theme="9" tint="-0.24993999302387238"/>
      </right>
      <top style="dotted">
        <color theme="9" tint="-0.24993999302387238"/>
      </top>
      <bottom style="dotted">
        <color theme="9" tint="-0.24993999302387238"/>
      </bottom>
    </border>
    <border>
      <left style="dotted">
        <color theme="9" tint="-0.24993999302387238"/>
      </left>
      <right style="dotted">
        <color theme="9" tint="-0.24993999302387238"/>
      </right>
      <top>
        <color indexed="63"/>
      </top>
      <bottom style="dotted">
        <color theme="9" tint="-0.24993999302387238"/>
      </bottom>
    </border>
    <border>
      <left style="dashed">
        <color theme="9" tint="-0.24993999302387238"/>
      </left>
      <right style="dashed">
        <color theme="9" tint="-0.24993999302387238"/>
      </right>
      <top style="dashed">
        <color theme="9" tint="-0.24993999302387238"/>
      </top>
      <bottom>
        <color indexed="63"/>
      </bottom>
    </border>
    <border>
      <left>
        <color indexed="63"/>
      </left>
      <right style="dashed">
        <color theme="9" tint="-0.24993999302387238"/>
      </right>
      <top style="dashed">
        <color theme="9" tint="-0.24993999302387238"/>
      </top>
      <bottom style="dashed">
        <color theme="9" tint="-0.24993999302387238"/>
      </bottom>
    </border>
    <border>
      <left>
        <color indexed="63"/>
      </left>
      <right style="dashed">
        <color theme="9" tint="-0.24993999302387238"/>
      </right>
      <top style="dashed">
        <color theme="9" tint="-0.24993999302387238"/>
      </top>
      <bottom>
        <color indexed="63"/>
      </bottom>
    </border>
    <border>
      <left style="dashed">
        <color theme="9" tint="-0.24993999302387238"/>
      </left>
      <right style="dashed">
        <color theme="9" tint="-0.24993999302387238"/>
      </right>
      <top style="dashed">
        <color theme="9" tint="-0.24993999302387238"/>
      </top>
      <bottom style="dashed">
        <color rgb="FFFFC000"/>
      </bottom>
    </border>
    <border>
      <left style="dashed">
        <color theme="9" tint="-0.24993999302387238"/>
      </left>
      <right style="dashed">
        <color theme="9" tint="-0.24993999302387238"/>
      </right>
      <top>
        <color indexed="63"/>
      </top>
      <bottom style="dashed">
        <color theme="9" tint="-0.24993999302387238"/>
      </bottom>
    </border>
    <border>
      <left>
        <color indexed="63"/>
      </left>
      <right style="dashed">
        <color theme="9" tint="-0.24993999302387238"/>
      </right>
      <top>
        <color indexed="63"/>
      </top>
      <bottom style="dashed">
        <color theme="9" tint="-0.24993999302387238"/>
      </bottom>
    </border>
    <border>
      <left style="dashed">
        <color theme="9" tint="-0.24993999302387238"/>
      </left>
      <right style="dashed">
        <color theme="9" tint="-0.24993999302387238"/>
      </right>
      <top style="dashed">
        <color theme="9" tint="-0.24993999302387238"/>
      </top>
      <bottom style="dashed">
        <color theme="9" tint="0.3999499976634979"/>
      </bottom>
    </border>
    <border>
      <left style="dashed">
        <color theme="5" tint="0.3999499976634979"/>
      </left>
      <right style="dashed">
        <color theme="5" tint="0.3999499976634979"/>
      </right>
      <top style="dashed">
        <color theme="5" tint="0.3999499976634979"/>
      </top>
      <bottom style="dashed">
        <color theme="5" tint="0.3999499976634979"/>
      </bottom>
    </border>
    <border>
      <left style="dotted">
        <color theme="9" tint="-0.24993999302387238"/>
      </left>
      <right style="dashed">
        <color theme="9" tint="-0.24993999302387238"/>
      </right>
      <top style="dashed">
        <color theme="9" tint="-0.24993999302387238"/>
      </top>
      <bottom style="dashed">
        <color theme="9" tint="-0.24993999302387238"/>
      </bottom>
    </border>
    <border>
      <left style="dashed">
        <color theme="9"/>
      </left>
      <right style="dashed">
        <color theme="9"/>
      </right>
      <top style="dashed">
        <color theme="9"/>
      </top>
      <bottom style="dashed">
        <color theme="9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>
        <color indexed="63"/>
      </left>
      <right style="thin">
        <color rgb="FF00B0F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dotted">
        <color theme="9" tint="-0.24993999302387238"/>
      </left>
      <right style="dotted">
        <color theme="9" tint="-0.24993999302387238"/>
      </right>
      <top style="dashed">
        <color theme="9" tint="-0.24993999302387238"/>
      </top>
      <bottom style="dashed">
        <color theme="9" tint="-0.24993999302387238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ck">
        <color theme="3"/>
      </left>
      <right style="dashed">
        <color theme="9" tint="-0.24993999302387238"/>
      </right>
      <top style="dashed">
        <color theme="9" tint="-0.24993999302387238"/>
      </top>
      <bottom style="dashed">
        <color theme="9" tint="-0.24993999302387238"/>
      </bottom>
    </border>
    <border>
      <left style="dashed">
        <color theme="9" tint="-0.24993999302387238"/>
      </left>
      <right style="thick">
        <color theme="3"/>
      </right>
      <top style="dashed">
        <color theme="9" tint="-0.24993999302387238"/>
      </top>
      <bottom style="dashed">
        <color theme="9" tint="-0.24993999302387238"/>
      </bottom>
    </border>
    <border>
      <left style="dashed">
        <color theme="9" tint="-0.24993999302387238"/>
      </left>
      <right style="thick">
        <color theme="3"/>
      </right>
      <top style="dashed">
        <color theme="9" tint="-0.24993999302387238"/>
      </top>
      <bottom style="thick">
        <color theme="3"/>
      </bottom>
    </border>
    <border>
      <left>
        <color indexed="63"/>
      </left>
      <right>
        <color indexed="63"/>
      </right>
      <top style="dashed">
        <color theme="9" tint="-0.24993999302387238"/>
      </top>
      <bottom style="dashed">
        <color theme="9" tint="-0.24993999302387238"/>
      </bottom>
    </border>
    <border>
      <left style="dashed">
        <color theme="9" tint="-0.24993999302387238"/>
      </left>
      <right>
        <color indexed="63"/>
      </right>
      <top style="dashed">
        <color theme="9" tint="-0.24993999302387238"/>
      </top>
      <bottom style="dashed">
        <color theme="9" tint="-0.2499399930238723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 style="dashed">
        <color rgb="FFFFC00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Dashed">
        <color rgb="FFE46D0A"/>
      </left>
      <right style="mediumDashed">
        <color rgb="FFE46D0A"/>
      </right>
      <top>
        <color indexed="63"/>
      </top>
      <bottom style="mediumDashed">
        <color rgb="FFE46D0A"/>
      </bottom>
    </border>
    <border>
      <left>
        <color indexed="63"/>
      </left>
      <right style="mediumDashed">
        <color rgb="FFE46D0A"/>
      </right>
      <top>
        <color indexed="63"/>
      </top>
      <bottom style="mediumDashed">
        <color rgb="FFE46D0A"/>
      </bottom>
    </border>
    <border>
      <left>
        <color indexed="63"/>
      </left>
      <right>
        <color indexed="63"/>
      </right>
      <top>
        <color indexed="63"/>
      </top>
      <bottom style="mediumDashed">
        <color rgb="FFE46D0A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dashed">
        <color rgb="FFFFC00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dashed">
        <color rgb="FFFFC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>
        <color rgb="FFFFC000"/>
      </right>
      <top style="medium">
        <color rgb="FF0070C0"/>
      </top>
      <bottom>
        <color indexed="63"/>
      </bottom>
    </border>
    <border>
      <left style="hair">
        <color rgb="FFFFC000"/>
      </left>
      <right>
        <color indexed="63"/>
      </right>
      <top style="hair">
        <color rgb="FFFFC000"/>
      </top>
      <bottom>
        <color indexed="63"/>
      </bottom>
    </border>
    <border>
      <left>
        <color indexed="63"/>
      </left>
      <right>
        <color indexed="63"/>
      </right>
      <top style="hair">
        <color rgb="FFFFC000"/>
      </top>
      <bottom>
        <color indexed="63"/>
      </bottom>
    </border>
    <border>
      <left>
        <color indexed="63"/>
      </left>
      <right style="hair">
        <color rgb="FFFFC000"/>
      </right>
      <top style="hair">
        <color rgb="FFFFC000"/>
      </top>
      <bottom>
        <color indexed="63"/>
      </bottom>
    </border>
    <border>
      <left style="hair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C000"/>
      </right>
      <top>
        <color indexed="63"/>
      </top>
      <bottom>
        <color indexed="63"/>
      </bottom>
    </border>
    <border>
      <left style="dotted">
        <color rgb="FFFFC000"/>
      </left>
      <right style="dashed">
        <color rgb="FFFFC000"/>
      </right>
      <top style="dashed">
        <color rgb="FFFFC000"/>
      </top>
      <bottom>
        <color indexed="63"/>
      </bottom>
    </border>
    <border>
      <left style="dotted">
        <color rgb="FFFFC000"/>
      </left>
      <right style="dashed">
        <color rgb="FFFFC000"/>
      </right>
      <top>
        <color indexed="63"/>
      </top>
      <bottom>
        <color indexed="63"/>
      </bottom>
    </border>
    <border>
      <left>
        <color indexed="63"/>
      </left>
      <right style="dashed">
        <color rgb="FFFFC000"/>
      </right>
      <top style="dashed">
        <color rgb="FFFFC000"/>
      </top>
      <bottom>
        <color indexed="63"/>
      </bottom>
    </border>
    <border>
      <left style="dashed">
        <color rgb="FFFFC000"/>
      </left>
      <right>
        <color indexed="63"/>
      </right>
      <top style="dashed">
        <color rgb="FFFFC000"/>
      </top>
      <bottom>
        <color indexed="63"/>
      </bottom>
    </border>
    <border>
      <left style="dashed">
        <color rgb="FFFFC000"/>
      </left>
      <right>
        <color indexed="63"/>
      </right>
      <top>
        <color indexed="63"/>
      </top>
      <bottom style="medium">
        <color rgb="FF0070C0"/>
      </bottom>
    </border>
    <border>
      <left style="dotted">
        <color rgb="FFFFC000"/>
      </left>
      <right style="dashed">
        <color rgb="FFFFC000"/>
      </right>
      <top>
        <color indexed="63"/>
      </top>
      <bottom style="medium">
        <color rgb="FF0070C0"/>
      </bottom>
    </border>
    <border>
      <left style="dashed">
        <color rgb="FFFFC000"/>
      </left>
      <right style="thin"/>
      <top style="medium">
        <color rgb="FF0070C0"/>
      </top>
      <bottom>
        <color indexed="63"/>
      </bottom>
    </border>
    <border>
      <left style="dashed">
        <color rgb="FFFFC000"/>
      </left>
      <right style="thin"/>
      <top>
        <color indexed="63"/>
      </top>
      <bottom style="medium">
        <color rgb="FF0070C0"/>
      </bottom>
    </border>
    <border>
      <left>
        <color indexed="63"/>
      </left>
      <right style="dashed">
        <color rgb="FFFFC000"/>
      </right>
      <top style="medium">
        <color rgb="FF0070C0"/>
      </top>
      <bottom style="medium">
        <color rgb="FF0070C0"/>
      </bottom>
    </border>
    <border>
      <left style="dashed">
        <color rgb="FFFFC00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dashed">
        <color rgb="FFFFC000"/>
      </right>
      <top style="medium">
        <color rgb="FF00B050"/>
      </top>
      <bottom style="medium">
        <color rgb="FF00B050"/>
      </bottom>
    </border>
    <border>
      <left style="dashed">
        <color rgb="FFFFC000"/>
      </left>
      <right>
        <color indexed="63"/>
      </right>
      <top style="medium">
        <color rgb="FF0070C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B050"/>
      </bottom>
    </border>
    <border>
      <left>
        <color indexed="63"/>
      </left>
      <right style="dashed">
        <color rgb="FFFFC000"/>
      </right>
      <top style="medium">
        <color rgb="FF0070C0"/>
      </top>
      <bottom style="medium">
        <color rgb="FF00B050"/>
      </bottom>
    </border>
    <border>
      <left style="dashed">
        <color rgb="FFFFC000"/>
      </left>
      <right style="dashed">
        <color rgb="FFFFC000"/>
      </right>
      <top style="medium">
        <color rgb="FF00B0F0"/>
      </top>
      <bottom>
        <color indexed="63"/>
      </bottom>
    </border>
    <border>
      <left style="dashed">
        <color rgb="FFFFC000"/>
      </left>
      <right style="dashed">
        <color rgb="FFFFC000"/>
      </right>
      <top>
        <color indexed="63"/>
      </top>
      <bottom style="medium">
        <color rgb="FF00B0F0"/>
      </bottom>
    </border>
    <border>
      <left>
        <color indexed="63"/>
      </left>
      <right style="dashed">
        <color rgb="FFFFC000"/>
      </right>
      <top style="medium">
        <color rgb="FF00B0F0"/>
      </top>
      <bottom>
        <color indexed="63"/>
      </bottom>
    </border>
    <border>
      <left>
        <color indexed="63"/>
      </left>
      <right style="dashed">
        <color rgb="FFFFC000"/>
      </right>
      <top>
        <color indexed="63"/>
      </top>
      <bottom style="medium">
        <color rgb="FF00B0F0"/>
      </bottom>
    </border>
    <border>
      <left style="dashed">
        <color rgb="FFFFC00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dashed">
        <color rgb="FFFFC000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 style="dashed">
        <color rgb="FFFFC000"/>
      </top>
      <bottom style="dashed">
        <color rgb="FFFFC000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 style="dashed">
        <color rgb="FFFFC000"/>
      </left>
      <right style="dashed">
        <color theme="9" tint="-0.24993999302387238"/>
      </right>
      <top>
        <color indexed="63"/>
      </top>
      <bottom>
        <color indexed="63"/>
      </bottom>
    </border>
    <border>
      <left style="dashed">
        <color rgb="FFFFC000"/>
      </left>
      <right style="dashed">
        <color theme="9" tint="-0.24993999302387238"/>
      </right>
      <top>
        <color indexed="63"/>
      </top>
      <bottom style="medium">
        <color rgb="FF0070C0"/>
      </bottom>
    </border>
    <border>
      <left style="dashed">
        <color rgb="FFFFC000"/>
      </left>
      <right style="dashed">
        <color theme="9" tint="-0.24993999302387238"/>
      </right>
      <top>
        <color indexed="63"/>
      </top>
      <bottom style="medium">
        <color rgb="FF00B0F0"/>
      </bottom>
    </border>
    <border>
      <left style="dashed">
        <color rgb="FFFFC000"/>
      </left>
      <right style="dashed">
        <color theme="9" tint="-0.24993999302387238"/>
      </right>
      <top style="medium">
        <color rgb="FF0070C0"/>
      </top>
      <bottom>
        <color indexed="63"/>
      </bottom>
    </border>
    <border>
      <left style="dashed">
        <color rgb="FFFFC000"/>
      </left>
      <right>
        <color indexed="63"/>
      </right>
      <top style="medium">
        <color rgb="FF00B050"/>
      </top>
      <bottom style="dashed">
        <color rgb="FFFFC000"/>
      </bottom>
    </border>
    <border>
      <left>
        <color indexed="63"/>
      </left>
      <right>
        <color indexed="63"/>
      </right>
      <top style="medium">
        <color rgb="FF00B050"/>
      </top>
      <bottom style="dashed">
        <color rgb="FFFFC000"/>
      </bottom>
    </border>
    <border>
      <left>
        <color indexed="63"/>
      </left>
      <right style="dashed">
        <color rgb="FFFFC000"/>
      </right>
      <top style="medium">
        <color rgb="FF00B050"/>
      </top>
      <bottom style="dashed">
        <color rgb="FFFFC000"/>
      </bottom>
    </border>
    <border>
      <left style="dashed">
        <color rgb="FFFFC000"/>
      </left>
      <right>
        <color indexed="63"/>
      </right>
      <top style="medium">
        <color rgb="FF0070C0"/>
      </top>
      <bottom style="dashed">
        <color rgb="FFFFC000"/>
      </bottom>
    </border>
    <border>
      <left>
        <color indexed="63"/>
      </left>
      <right>
        <color indexed="63"/>
      </right>
      <top style="medium">
        <color rgb="FF0070C0"/>
      </top>
      <bottom style="dashed">
        <color rgb="FFFFC000"/>
      </bottom>
    </border>
    <border>
      <left>
        <color indexed="63"/>
      </left>
      <right style="dashed">
        <color rgb="FFFFC000"/>
      </right>
      <top style="medium">
        <color rgb="FF0070C0"/>
      </top>
      <bottom style="dashed">
        <color rgb="FFFFC000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>
        <color rgb="FF00B0F0"/>
      </left>
      <right style="thin">
        <color rgb="FF00B0F0"/>
      </right>
      <top style="thin"/>
      <bottom>
        <color indexed="63"/>
      </bottom>
    </border>
    <border>
      <left>
        <color indexed="63"/>
      </left>
      <right style="thin">
        <color rgb="FF00B0F0"/>
      </right>
      <top style="thin">
        <color rgb="FF00B0F0"/>
      </top>
      <bottom style="thin">
        <color rgb="FF00B0F0"/>
      </bottom>
    </border>
    <border>
      <left>
        <color indexed="63"/>
      </left>
      <right style="thin"/>
      <top style="thin">
        <color rgb="FF00B0F0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 style="thin">
        <color rgb="FF00B0F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B0F0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thick">
        <color theme="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ck">
        <color theme="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thick">
        <color theme="3"/>
      </left>
      <right>
        <color indexed="63"/>
      </right>
      <top style="dashed">
        <color theme="9" tint="-0.24993999302387238"/>
      </top>
      <bottom style="thick">
        <color theme="3"/>
      </bottom>
    </border>
    <border>
      <left>
        <color indexed="63"/>
      </left>
      <right style="dashed">
        <color theme="9" tint="-0.24993999302387238"/>
      </right>
      <top style="dashed">
        <color theme="9" tint="-0.24993999302387238"/>
      </top>
      <bottom style="thick">
        <color theme="3"/>
      </bottom>
    </border>
    <border>
      <left style="thick">
        <color theme="3"/>
      </left>
      <right>
        <color indexed="63"/>
      </right>
      <top style="thick">
        <color theme="3"/>
      </top>
      <bottom style="dashed">
        <color theme="9" tint="-0.24993999302387238"/>
      </bottom>
    </border>
    <border>
      <left>
        <color indexed="63"/>
      </left>
      <right>
        <color indexed="63"/>
      </right>
      <top style="thick">
        <color theme="3"/>
      </top>
      <bottom style="dashed">
        <color theme="9" tint="-0.24993999302387238"/>
      </bottom>
    </border>
    <border>
      <left>
        <color indexed="63"/>
      </left>
      <right style="thick">
        <color theme="3"/>
      </right>
      <top style="thick">
        <color theme="3"/>
      </top>
      <bottom style="dashed">
        <color theme="9" tint="-0.24993999302387238"/>
      </bottom>
    </border>
    <border>
      <left style="dashed">
        <color theme="9"/>
      </left>
      <right>
        <color indexed="63"/>
      </right>
      <top style="dashed">
        <color theme="9"/>
      </top>
      <bottom style="dashed">
        <color theme="9"/>
      </bottom>
    </border>
    <border>
      <left>
        <color indexed="63"/>
      </left>
      <right style="dashed">
        <color theme="9"/>
      </right>
      <top style="dashed">
        <color theme="9"/>
      </top>
      <bottom style="dashed">
        <color theme="9"/>
      </bottom>
    </border>
    <border>
      <left style="mediumDashed">
        <color rgb="FFE46D0A"/>
      </left>
      <right>
        <color indexed="63"/>
      </right>
      <top style="mediumDashed">
        <color rgb="FFE46D0A"/>
      </top>
      <bottom style="mediumDashed">
        <color rgb="FFE46D0A"/>
      </bottom>
    </border>
    <border>
      <left>
        <color indexed="63"/>
      </left>
      <right>
        <color indexed="63"/>
      </right>
      <top style="mediumDashed">
        <color rgb="FFE46D0A"/>
      </top>
      <bottom style="mediumDashed">
        <color rgb="FFE46D0A"/>
      </bottom>
    </border>
    <border>
      <left>
        <color indexed="63"/>
      </left>
      <right style="mediumDashed">
        <color rgb="FFE46D0A"/>
      </right>
      <top style="mediumDashed">
        <color rgb="FFE46D0A"/>
      </top>
      <bottom style="mediumDashed">
        <color rgb="FFE46D0A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466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 vertical="top" wrapText="1"/>
    </xf>
    <xf numFmtId="0" fontId="85" fillId="0" borderId="0" xfId="0" applyFont="1" applyAlignment="1">
      <alignment/>
    </xf>
    <xf numFmtId="183" fontId="84" fillId="0" borderId="0" xfId="42" applyNumberFormat="1" applyFont="1" applyAlignment="1">
      <alignment/>
    </xf>
    <xf numFmtId="0" fontId="84" fillId="0" borderId="10" xfId="0" applyFont="1" applyBorder="1" applyAlignment="1">
      <alignment vertical="top" wrapText="1"/>
    </xf>
    <xf numFmtId="0" fontId="84" fillId="0" borderId="11" xfId="0" applyFont="1" applyBorder="1" applyAlignment="1">
      <alignment vertical="top" wrapText="1"/>
    </xf>
    <xf numFmtId="0" fontId="85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right" vertical="top" wrapText="1"/>
    </xf>
    <xf numFmtId="183" fontId="85" fillId="0" borderId="0" xfId="42" applyNumberFormat="1" applyFont="1" applyAlignment="1">
      <alignment/>
    </xf>
    <xf numFmtId="0" fontId="85" fillId="0" borderId="0" xfId="0" applyFont="1" applyAlignment="1">
      <alignment horizontal="right"/>
    </xf>
    <xf numFmtId="0" fontId="84" fillId="0" borderId="12" xfId="0" applyFont="1" applyBorder="1" applyAlignment="1">
      <alignment vertical="top" wrapText="1"/>
    </xf>
    <xf numFmtId="0" fontId="84" fillId="0" borderId="10" xfId="0" applyFont="1" applyBorder="1" applyAlignment="1">
      <alignment horizontal="left" vertical="top" wrapText="1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5" fillId="0" borderId="11" xfId="0" applyFont="1" applyBorder="1" applyAlignment="1">
      <alignment horizontal="left" vertical="top" wrapText="1"/>
    </xf>
    <xf numFmtId="183" fontId="85" fillId="0" borderId="11" xfId="42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183" fontId="84" fillId="0" borderId="13" xfId="42" applyNumberFormat="1" applyFont="1" applyBorder="1" applyAlignment="1">
      <alignment vertical="top" wrapText="1"/>
    </xf>
    <xf numFmtId="0" fontId="84" fillId="0" borderId="10" xfId="0" applyFont="1" applyBorder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5" fillId="0" borderId="14" xfId="0" applyFont="1" applyBorder="1" applyAlignment="1">
      <alignment vertical="top" wrapText="1"/>
    </xf>
    <xf numFmtId="0" fontId="86" fillId="0" borderId="15" xfId="0" applyFont="1" applyBorder="1" applyAlignment="1">
      <alignment vertical="top" wrapText="1"/>
    </xf>
    <xf numFmtId="0" fontId="85" fillId="0" borderId="15" xfId="0" applyFont="1" applyBorder="1" applyAlignment="1">
      <alignment vertical="top" wrapText="1"/>
    </xf>
    <xf numFmtId="0" fontId="87" fillId="0" borderId="15" xfId="0" applyFont="1" applyBorder="1" applyAlignment="1">
      <alignment vertical="top" wrapText="1"/>
    </xf>
    <xf numFmtId="0" fontId="84" fillId="0" borderId="15" xfId="0" applyFont="1" applyBorder="1" applyAlignment="1">
      <alignment vertical="top" wrapText="1"/>
    </xf>
    <xf numFmtId="0" fontId="84" fillId="0" borderId="16" xfId="0" applyFont="1" applyBorder="1" applyAlignment="1">
      <alignment vertical="top" wrapText="1"/>
    </xf>
    <xf numFmtId="183" fontId="85" fillId="0" borderId="13" xfId="42" applyNumberFormat="1" applyFont="1" applyBorder="1" applyAlignment="1">
      <alignment vertical="top" wrapText="1"/>
    </xf>
    <xf numFmtId="183" fontId="88" fillId="0" borderId="13" xfId="42" applyNumberFormat="1" applyFont="1" applyBorder="1" applyAlignment="1">
      <alignment vertical="top" wrapText="1"/>
    </xf>
    <xf numFmtId="0" fontId="85" fillId="0" borderId="13" xfId="0" applyFont="1" applyBorder="1" applyAlignment="1">
      <alignment horizontal="left" vertical="top" wrapText="1"/>
    </xf>
    <xf numFmtId="0" fontId="84" fillId="0" borderId="13" xfId="0" applyFont="1" applyBorder="1" applyAlignment="1">
      <alignment horizontal="left" vertical="top" wrapText="1"/>
    </xf>
    <xf numFmtId="0" fontId="84" fillId="0" borderId="17" xfId="0" applyFont="1" applyBorder="1" applyAlignment="1">
      <alignment horizontal="left" vertical="top" wrapText="1"/>
    </xf>
    <xf numFmtId="0" fontId="85" fillId="0" borderId="13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left" vertical="center" wrapText="1" indent="5"/>
    </xf>
    <xf numFmtId="0" fontId="89" fillId="0" borderId="13" xfId="0" applyFont="1" applyBorder="1" applyAlignment="1">
      <alignment horizontal="left" vertical="center" wrapText="1" indent="5"/>
    </xf>
    <xf numFmtId="0" fontId="85" fillId="0" borderId="13" xfId="0" applyFont="1" applyBorder="1" applyAlignment="1">
      <alignment horizontal="left" vertical="center" wrapText="1" indent="5"/>
    </xf>
    <xf numFmtId="0" fontId="85" fillId="0" borderId="13" xfId="0" applyFont="1" applyBorder="1" applyAlignment="1">
      <alignment horizontal="left" vertical="center" wrapText="1" indent="2"/>
    </xf>
    <xf numFmtId="0" fontId="84" fillId="0" borderId="13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left" vertical="center" wrapText="1"/>
    </xf>
    <xf numFmtId="0" fontId="84" fillId="0" borderId="18" xfId="0" applyFont="1" applyBorder="1" applyAlignment="1">
      <alignment/>
    </xf>
    <xf numFmtId="183" fontId="84" fillId="0" borderId="0" xfId="42" applyNumberFormat="1" applyFont="1" applyAlignment="1">
      <alignment wrapText="1"/>
    </xf>
    <xf numFmtId="183" fontId="84" fillId="0" borderId="13" xfId="42" applyNumberFormat="1" applyFont="1" applyBorder="1" applyAlignment="1">
      <alignment horizontal="left" vertical="top" wrapText="1"/>
    </xf>
    <xf numFmtId="183" fontId="89" fillId="0" borderId="13" xfId="42" applyNumberFormat="1" applyFont="1" applyBorder="1" applyAlignment="1">
      <alignment horizontal="left" vertical="top" wrapText="1"/>
    </xf>
    <xf numFmtId="183" fontId="85" fillId="0" borderId="13" xfId="42" applyNumberFormat="1" applyFont="1" applyBorder="1" applyAlignment="1">
      <alignment horizontal="left" vertical="top" wrapText="1"/>
    </xf>
    <xf numFmtId="183" fontId="88" fillId="0" borderId="13" xfId="42" applyNumberFormat="1" applyFont="1" applyBorder="1" applyAlignment="1">
      <alignment horizontal="left" vertical="top" wrapText="1"/>
    </xf>
    <xf numFmtId="183" fontId="88" fillId="0" borderId="17" xfId="42" applyNumberFormat="1" applyFont="1" applyBorder="1" applyAlignment="1">
      <alignment horizontal="left" vertical="top" wrapText="1"/>
    </xf>
    <xf numFmtId="0" fontId="89" fillId="0" borderId="13" xfId="0" applyFont="1" applyBorder="1" applyAlignment="1">
      <alignment horizontal="left" vertical="top" wrapText="1"/>
    </xf>
    <xf numFmtId="0" fontId="87" fillId="0" borderId="13" xfId="0" applyFont="1" applyBorder="1" applyAlignment="1">
      <alignment horizontal="left" vertical="top" wrapText="1"/>
    </xf>
    <xf numFmtId="0" fontId="87" fillId="0" borderId="19" xfId="0" applyFont="1" applyBorder="1" applyAlignment="1">
      <alignment vertical="top" wrapText="1"/>
    </xf>
    <xf numFmtId="0" fontId="85" fillId="0" borderId="20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top" wrapText="1"/>
    </xf>
    <xf numFmtId="0" fontId="85" fillId="0" borderId="13" xfId="0" applyFont="1" applyBorder="1" applyAlignment="1">
      <alignment horizontal="right" vertical="center" wrapText="1"/>
    </xf>
    <xf numFmtId="0" fontId="90" fillId="0" borderId="21" xfId="0" applyFont="1" applyBorder="1" applyAlignment="1">
      <alignment horizontal="left" vertical="center" wrapText="1" indent="5"/>
    </xf>
    <xf numFmtId="0" fontId="84" fillId="0" borderId="21" xfId="0" applyFont="1" applyBorder="1" applyAlignment="1">
      <alignment horizontal="left" vertical="top" wrapText="1"/>
    </xf>
    <xf numFmtId="183" fontId="84" fillId="0" borderId="21" xfId="42" applyNumberFormat="1" applyFont="1" applyBorder="1" applyAlignment="1">
      <alignment horizontal="left" vertical="top" wrapText="1"/>
    </xf>
    <xf numFmtId="0" fontId="84" fillId="0" borderId="22" xfId="0" applyFont="1" applyBorder="1" applyAlignment="1">
      <alignment horizontal="left" vertical="top" wrapText="1"/>
    </xf>
    <xf numFmtId="183" fontId="84" fillId="0" borderId="22" xfId="42" applyNumberFormat="1" applyFont="1" applyBorder="1" applyAlignment="1">
      <alignment horizontal="left" vertical="top" wrapText="1"/>
    </xf>
    <xf numFmtId="0" fontId="89" fillId="0" borderId="22" xfId="0" applyFont="1" applyBorder="1" applyAlignment="1">
      <alignment horizontal="left" vertical="top" wrapText="1"/>
    </xf>
    <xf numFmtId="183" fontId="89" fillId="0" borderId="22" xfId="42" applyNumberFormat="1" applyFont="1" applyBorder="1" applyAlignment="1">
      <alignment horizontal="left" vertical="top" wrapText="1"/>
    </xf>
    <xf numFmtId="0" fontId="85" fillId="0" borderId="23" xfId="0" applyFont="1" applyBorder="1" applyAlignment="1">
      <alignment horizontal="right" vertical="center" wrapText="1"/>
    </xf>
    <xf numFmtId="0" fontId="84" fillId="0" borderId="24" xfId="0" applyFont="1" applyBorder="1" applyAlignment="1">
      <alignment horizontal="left" vertical="top" wrapText="1"/>
    </xf>
    <xf numFmtId="183" fontId="85" fillId="0" borderId="24" xfId="42" applyNumberFormat="1" applyFont="1" applyBorder="1" applyAlignment="1">
      <alignment horizontal="left" vertical="top" wrapText="1"/>
    </xf>
    <xf numFmtId="0" fontId="85" fillId="0" borderId="25" xfId="0" applyFont="1" applyBorder="1" applyAlignment="1">
      <alignment horizontal="right" vertical="center" wrapText="1"/>
    </xf>
    <xf numFmtId="0" fontId="84" fillId="0" borderId="19" xfId="0" applyFont="1" applyBorder="1" applyAlignment="1">
      <alignment vertical="center" wrapText="1"/>
    </xf>
    <xf numFmtId="0" fontId="84" fillId="0" borderId="20" xfId="0" applyFont="1" applyBorder="1" applyAlignment="1">
      <alignment horizontal="left" vertical="top" wrapText="1"/>
    </xf>
    <xf numFmtId="183" fontId="84" fillId="0" borderId="11" xfId="42" applyNumberFormat="1" applyFont="1" applyBorder="1" applyAlignment="1">
      <alignment horizontal="left" vertical="top" wrapText="1"/>
    </xf>
    <xf numFmtId="183" fontId="85" fillId="0" borderId="14" xfId="42" applyNumberFormat="1" applyFont="1" applyBorder="1" applyAlignment="1">
      <alignment horizontal="left" vertical="top" wrapText="1"/>
    </xf>
    <xf numFmtId="183" fontId="84" fillId="0" borderId="19" xfId="42" applyNumberFormat="1" applyFont="1" applyBorder="1" applyAlignment="1">
      <alignment horizontal="left" vertical="top" wrapText="1"/>
    </xf>
    <xf numFmtId="0" fontId="84" fillId="0" borderId="10" xfId="0" applyFont="1" applyBorder="1" applyAlignment="1">
      <alignment vertical="center" wrapText="1"/>
    </xf>
    <xf numFmtId="183" fontId="85" fillId="0" borderId="19" xfId="42" applyNumberFormat="1" applyFont="1" applyBorder="1" applyAlignment="1">
      <alignment horizontal="left" vertical="top" wrapText="1"/>
    </xf>
    <xf numFmtId="0" fontId="85" fillId="0" borderId="10" xfId="0" applyFont="1" applyBorder="1" applyAlignment="1">
      <alignment horizontal="right" vertical="center" wrapText="1"/>
    </xf>
    <xf numFmtId="0" fontId="85" fillId="0" borderId="26" xfId="0" applyFont="1" applyBorder="1" applyAlignment="1">
      <alignment horizontal="right" vertical="center" wrapText="1"/>
    </xf>
    <xf numFmtId="0" fontId="84" fillId="0" borderId="27" xfId="0" applyFont="1" applyBorder="1" applyAlignment="1">
      <alignment horizontal="left" vertical="center" wrapText="1"/>
    </xf>
    <xf numFmtId="183" fontId="84" fillId="0" borderId="10" xfId="42" applyNumberFormat="1" applyFont="1" applyBorder="1" applyAlignment="1">
      <alignment horizontal="left" vertical="top" wrapText="1"/>
    </xf>
    <xf numFmtId="0" fontId="84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horizontal="right"/>
    </xf>
    <xf numFmtId="183" fontId="84" fillId="0" borderId="10" xfId="0" applyNumberFormat="1" applyFont="1" applyBorder="1" applyAlignment="1">
      <alignment/>
    </xf>
    <xf numFmtId="0" fontId="84" fillId="0" borderId="10" xfId="0" applyFont="1" applyBorder="1" applyAlignment="1">
      <alignment horizontal="left"/>
    </xf>
    <xf numFmtId="0" fontId="85" fillId="0" borderId="10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85" fillId="0" borderId="12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top" wrapText="1"/>
    </xf>
    <xf numFmtId="183" fontId="88" fillId="0" borderId="11" xfId="42" applyNumberFormat="1" applyFont="1" applyBorder="1" applyAlignment="1">
      <alignment horizontal="left" vertical="top" wrapText="1"/>
    </xf>
    <xf numFmtId="0" fontId="84" fillId="0" borderId="0" xfId="0" applyFont="1" applyAlignment="1">
      <alignment vertical="top"/>
    </xf>
    <xf numFmtId="177" fontId="84" fillId="0" borderId="0" xfId="42" applyFont="1" applyAlignment="1">
      <alignment vertical="top"/>
    </xf>
    <xf numFmtId="0" fontId="84" fillId="0" borderId="10" xfId="0" applyFont="1" applyBorder="1" applyAlignment="1">
      <alignment vertical="top"/>
    </xf>
    <xf numFmtId="177" fontId="84" fillId="0" borderId="10" xfId="42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77" fontId="2" fillId="0" borderId="10" xfId="42" applyFont="1" applyBorder="1" applyAlignment="1">
      <alignment vertical="top" wrapText="1"/>
    </xf>
    <xf numFmtId="177" fontId="85" fillId="0" borderId="10" xfId="42" applyFont="1" applyBorder="1" applyAlignment="1">
      <alignment vertical="top" wrapText="1"/>
    </xf>
    <xf numFmtId="0" fontId="86" fillId="0" borderId="10" xfId="0" applyFont="1" applyBorder="1" applyAlignment="1">
      <alignment vertical="top" wrapText="1"/>
    </xf>
    <xf numFmtId="177" fontId="84" fillId="0" borderId="10" xfId="42" applyFont="1" applyBorder="1" applyAlignment="1">
      <alignment vertical="top"/>
    </xf>
    <xf numFmtId="177" fontId="88" fillId="0" borderId="10" xfId="42" applyFont="1" applyBorder="1" applyAlignment="1">
      <alignment vertical="top" wrapText="1"/>
    </xf>
    <xf numFmtId="177" fontId="85" fillId="0" borderId="10" xfId="42" applyFont="1" applyBorder="1" applyAlignment="1">
      <alignment vertical="top"/>
    </xf>
    <xf numFmtId="0" fontId="84" fillId="0" borderId="11" xfId="0" applyFont="1" applyBorder="1" applyAlignment="1">
      <alignment vertical="top"/>
    </xf>
    <xf numFmtId="0" fontId="85" fillId="0" borderId="18" xfId="0" applyFont="1" applyBorder="1" applyAlignment="1">
      <alignment horizontal="right" vertical="top"/>
    </xf>
    <xf numFmtId="0" fontId="85" fillId="0" borderId="10" xfId="0" applyFont="1" applyBorder="1" applyAlignment="1">
      <alignment horizontal="right" vertical="top"/>
    </xf>
    <xf numFmtId="183" fontId="85" fillId="0" borderId="10" xfId="42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/>
    </xf>
    <xf numFmtId="177" fontId="84" fillId="0" borderId="10" xfId="42" applyFont="1" applyBorder="1" applyAlignment="1">
      <alignment horizontal="center"/>
    </xf>
    <xf numFmtId="0" fontId="84" fillId="0" borderId="10" xfId="0" applyFont="1" applyBorder="1" applyAlignment="1">
      <alignment horizontal="left" wrapText="1"/>
    </xf>
    <xf numFmtId="0" fontId="84" fillId="0" borderId="10" xfId="0" applyFont="1" applyBorder="1" applyAlignment="1">
      <alignment vertical="center"/>
    </xf>
    <xf numFmtId="0" fontId="85" fillId="0" borderId="12" xfId="0" applyFont="1" applyBorder="1" applyAlignment="1">
      <alignment vertical="center" wrapText="1"/>
    </xf>
    <xf numFmtId="177" fontId="85" fillId="0" borderId="10" xfId="0" applyNumberFormat="1" applyFont="1" applyBorder="1" applyAlignment="1">
      <alignment vertical="top"/>
    </xf>
    <xf numFmtId="183" fontId="0" fillId="0" borderId="0" xfId="42" applyNumberFormat="1" applyFont="1" applyAlignment="1">
      <alignment/>
    </xf>
    <xf numFmtId="183" fontId="84" fillId="0" borderId="10" xfId="42" applyNumberFormat="1" applyFont="1" applyBorder="1" applyAlignment="1">
      <alignment vertical="top" wrapText="1"/>
    </xf>
    <xf numFmtId="0" fontId="85" fillId="0" borderId="12" xfId="0" applyFont="1" applyBorder="1" applyAlignment="1">
      <alignment horizontal="right" vertical="top" wrapText="1"/>
    </xf>
    <xf numFmtId="183" fontId="85" fillId="0" borderId="10" xfId="42" applyNumberFormat="1" applyFont="1" applyBorder="1" applyAlignment="1">
      <alignment vertical="top" wrapText="1"/>
    </xf>
    <xf numFmtId="183" fontId="85" fillId="0" borderId="18" xfId="42" applyNumberFormat="1" applyFont="1" applyBorder="1" applyAlignment="1">
      <alignment vertical="top" wrapText="1"/>
    </xf>
    <xf numFmtId="183" fontId="84" fillId="0" borderId="18" xfId="42" applyNumberFormat="1" applyFont="1" applyBorder="1" applyAlignment="1">
      <alignment vertical="top" wrapText="1"/>
    </xf>
    <xf numFmtId="0" fontId="85" fillId="0" borderId="28" xfId="0" applyFont="1" applyFill="1" applyBorder="1" applyAlignment="1">
      <alignment horizontal="right" vertical="top" wrapText="1"/>
    </xf>
    <xf numFmtId="0" fontId="85" fillId="0" borderId="18" xfId="0" applyFont="1" applyBorder="1" applyAlignment="1">
      <alignment vertical="top" wrapText="1"/>
    </xf>
    <xf numFmtId="175" fontId="2" fillId="33" borderId="0" xfId="0" applyNumberFormat="1" applyFont="1" applyFill="1" applyAlignment="1">
      <alignment/>
    </xf>
    <xf numFmtId="175" fontId="5" fillId="33" borderId="29" xfId="0" applyNumberFormat="1" applyFont="1" applyFill="1" applyBorder="1" applyAlignment="1">
      <alignment horizontal="center"/>
    </xf>
    <xf numFmtId="175" fontId="5" fillId="33" borderId="30" xfId="0" applyNumberFormat="1" applyFont="1" applyFill="1" applyBorder="1" applyAlignment="1">
      <alignment horizontal="center"/>
    </xf>
    <xf numFmtId="175" fontId="5" fillId="33" borderId="31" xfId="0" applyNumberFormat="1" applyFont="1" applyFill="1" applyBorder="1" applyAlignment="1">
      <alignment horizontal="center"/>
    </xf>
    <xf numFmtId="175" fontId="2" fillId="33" borderId="32" xfId="0" applyNumberFormat="1" applyFont="1" applyFill="1" applyBorder="1" applyAlignment="1">
      <alignment/>
    </xf>
    <xf numFmtId="175" fontId="2" fillId="33" borderId="33" xfId="42" applyNumberFormat="1" applyFont="1" applyFill="1" applyBorder="1" applyAlignment="1">
      <alignment/>
    </xf>
    <xf numFmtId="175" fontId="5" fillId="33" borderId="34" xfId="0" applyNumberFormat="1" applyFont="1" applyFill="1" applyBorder="1" applyAlignment="1">
      <alignment horizontal="center"/>
    </xf>
    <xf numFmtId="175" fontId="2" fillId="33" borderId="35" xfId="0" applyNumberFormat="1" applyFont="1" applyFill="1" applyBorder="1" applyAlignment="1">
      <alignment/>
    </xf>
    <xf numFmtId="175" fontId="5" fillId="33" borderId="36" xfId="42" applyNumberFormat="1" applyFont="1" applyFill="1" applyBorder="1" applyAlignment="1">
      <alignment/>
    </xf>
    <xf numFmtId="175" fontId="2" fillId="33" borderId="37" xfId="0" applyNumberFormat="1" applyFont="1" applyFill="1" applyBorder="1" applyAlignment="1">
      <alignment/>
    </xf>
    <xf numFmtId="175" fontId="2" fillId="33" borderId="38" xfId="0" applyNumberFormat="1" applyFont="1" applyFill="1" applyBorder="1" applyAlignment="1">
      <alignment/>
    </xf>
    <xf numFmtId="175" fontId="5" fillId="33" borderId="39" xfId="0" applyNumberFormat="1" applyFont="1" applyFill="1" applyBorder="1" applyAlignment="1">
      <alignment horizontal="center"/>
    </xf>
    <xf numFmtId="175" fontId="2" fillId="33" borderId="33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75" fontId="5" fillId="33" borderId="41" xfId="0" applyNumberFormat="1" applyFont="1" applyFill="1" applyBorder="1" applyAlignment="1">
      <alignment horizontal="center"/>
    </xf>
    <xf numFmtId="175" fontId="5" fillId="33" borderId="42" xfId="0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175" fontId="2" fillId="33" borderId="43" xfId="0" applyNumberFormat="1" applyFont="1" applyFill="1" applyBorder="1" applyAlignment="1">
      <alignment horizontal="center"/>
    </xf>
    <xf numFmtId="0" fontId="84" fillId="0" borderId="38" xfId="0" applyFont="1" applyBorder="1" applyAlignment="1">
      <alignment/>
    </xf>
    <xf numFmtId="183" fontId="84" fillId="0" borderId="38" xfId="42" applyNumberFormat="1" applyFont="1" applyBorder="1" applyAlignment="1">
      <alignment/>
    </xf>
    <xf numFmtId="3" fontId="84" fillId="0" borderId="38" xfId="0" applyNumberFormat="1" applyFont="1" applyBorder="1" applyAlignment="1">
      <alignment/>
    </xf>
    <xf numFmtId="0" fontId="85" fillId="0" borderId="28" xfId="0" applyFont="1" applyBorder="1" applyAlignment="1">
      <alignment horizontal="left" vertical="top" wrapText="1"/>
    </xf>
    <xf numFmtId="0" fontId="84" fillId="0" borderId="20" xfId="0" applyFont="1" applyBorder="1" applyAlignment="1">
      <alignment horizontal="left" vertical="top" wrapText="1" indent="5"/>
    </xf>
    <xf numFmtId="0" fontId="84" fillId="34" borderId="10" xfId="0" applyFont="1" applyFill="1" applyBorder="1" applyAlignment="1">
      <alignment vertical="top" wrapText="1"/>
    </xf>
    <xf numFmtId="183" fontId="0" fillId="0" borderId="0" xfId="42" applyNumberFormat="1" applyFont="1" applyAlignment="1">
      <alignment/>
    </xf>
    <xf numFmtId="0" fontId="84" fillId="34" borderId="10" xfId="0" applyFont="1" applyFill="1" applyBorder="1" applyAlignment="1">
      <alignment vertical="top"/>
    </xf>
    <xf numFmtId="0" fontId="84" fillId="34" borderId="10" xfId="0" applyFont="1" applyFill="1" applyBorder="1" applyAlignment="1">
      <alignment horizontal="left" vertical="top"/>
    </xf>
    <xf numFmtId="177" fontId="84" fillId="34" borderId="10" xfId="42" applyFont="1" applyFill="1" applyBorder="1" applyAlignment="1">
      <alignment vertical="top" wrapText="1"/>
    </xf>
    <xf numFmtId="177" fontId="84" fillId="34" borderId="10" xfId="42" applyFont="1" applyFill="1" applyBorder="1" applyAlignment="1">
      <alignment vertical="top"/>
    </xf>
    <xf numFmtId="177" fontId="83" fillId="0" borderId="0" xfId="0" applyNumberFormat="1" applyFont="1" applyAlignment="1">
      <alignment/>
    </xf>
    <xf numFmtId="177" fontId="89" fillId="0" borderId="0" xfId="42" applyFont="1" applyAlignment="1">
      <alignment vertical="top"/>
    </xf>
    <xf numFmtId="0" fontId="84" fillId="34" borderId="18" xfId="0" applyFont="1" applyFill="1" applyBorder="1" applyAlignment="1">
      <alignment horizontal="left" vertical="top"/>
    </xf>
    <xf numFmtId="0" fontId="84" fillId="34" borderId="11" xfId="0" applyFont="1" applyFill="1" applyBorder="1" applyAlignment="1">
      <alignment vertical="top"/>
    </xf>
    <xf numFmtId="0" fontId="3" fillId="0" borderId="44" xfId="0" applyFont="1" applyBorder="1" applyAlignment="1">
      <alignment horizontal="left" vertical="center" wrapText="1"/>
    </xf>
    <xf numFmtId="0" fontId="84" fillId="0" borderId="45" xfId="0" applyFont="1" applyBorder="1" applyAlignment="1">
      <alignment horizontal="left" vertical="center" wrapText="1"/>
    </xf>
    <xf numFmtId="0" fontId="89" fillId="0" borderId="45" xfId="0" applyFont="1" applyBorder="1" applyAlignment="1">
      <alignment horizontal="left" vertical="center" wrapText="1"/>
    </xf>
    <xf numFmtId="0" fontId="84" fillId="34" borderId="23" xfId="0" applyFont="1" applyFill="1" applyBorder="1" applyAlignment="1">
      <alignment horizontal="left" vertical="center" wrapText="1"/>
    </xf>
    <xf numFmtId="0" fontId="90" fillId="34" borderId="21" xfId="0" applyFont="1" applyFill="1" applyBorder="1" applyAlignment="1">
      <alignment horizontal="left" vertical="center" wrapText="1" indent="5"/>
    </xf>
    <xf numFmtId="0" fontId="84" fillId="34" borderId="24" xfId="0" applyFont="1" applyFill="1" applyBorder="1" applyAlignment="1">
      <alignment horizontal="left" vertical="top" wrapText="1"/>
    </xf>
    <xf numFmtId="183" fontId="84" fillId="34" borderId="24" xfId="42" applyNumberFormat="1" applyFont="1" applyFill="1" applyBorder="1" applyAlignment="1">
      <alignment horizontal="left" vertical="top" wrapText="1"/>
    </xf>
    <xf numFmtId="0" fontId="84" fillId="34" borderId="26" xfId="0" applyFont="1" applyFill="1" applyBorder="1" applyAlignment="1">
      <alignment horizontal="left" vertical="center" wrapText="1"/>
    </xf>
    <xf numFmtId="0" fontId="84" fillId="34" borderId="17" xfId="0" applyFont="1" applyFill="1" applyBorder="1" applyAlignment="1">
      <alignment horizontal="left" vertical="top" wrapText="1"/>
    </xf>
    <xf numFmtId="183" fontId="84" fillId="34" borderId="14" xfId="42" applyNumberFormat="1" applyFont="1" applyFill="1" applyBorder="1" applyAlignment="1">
      <alignment horizontal="left" vertical="top" wrapText="1"/>
    </xf>
    <xf numFmtId="183" fontId="89" fillId="0" borderId="0" xfId="42" applyNumberFormat="1" applyFont="1" applyAlignment="1">
      <alignment wrapText="1"/>
    </xf>
    <xf numFmtId="183" fontId="84" fillId="34" borderId="10" xfId="42" applyNumberFormat="1" applyFont="1" applyFill="1" applyBorder="1" applyAlignment="1">
      <alignment vertical="top" wrapText="1"/>
    </xf>
    <xf numFmtId="183" fontId="84" fillId="0" borderId="19" xfId="42" applyNumberFormat="1" applyFont="1" applyBorder="1" applyAlignment="1">
      <alignment vertical="top" wrapText="1"/>
    </xf>
    <xf numFmtId="0" fontId="85" fillId="0" borderId="46" xfId="0" applyFont="1" applyBorder="1" applyAlignment="1">
      <alignment horizontal="center" vertical="top" wrapText="1"/>
    </xf>
    <xf numFmtId="0" fontId="85" fillId="0" borderId="46" xfId="0" applyFont="1" applyBorder="1" applyAlignment="1">
      <alignment horizontal="left" vertical="top" wrapText="1"/>
    </xf>
    <xf numFmtId="0" fontId="85" fillId="0" borderId="46" xfId="0" applyFont="1" applyBorder="1" applyAlignment="1">
      <alignment vertical="top" wrapText="1"/>
    </xf>
    <xf numFmtId="183" fontId="85" fillId="0" borderId="46" xfId="42" applyNumberFormat="1" applyFont="1" applyBorder="1" applyAlignment="1">
      <alignment horizontal="center" vertical="top" wrapText="1"/>
    </xf>
    <xf numFmtId="0" fontId="84" fillId="0" borderId="46" xfId="0" applyFont="1" applyBorder="1" applyAlignment="1">
      <alignment vertical="center" wrapText="1"/>
    </xf>
    <xf numFmtId="0" fontId="84" fillId="0" borderId="46" xfId="0" applyFont="1" applyBorder="1" applyAlignment="1">
      <alignment vertical="top" wrapText="1"/>
    </xf>
    <xf numFmtId="0" fontId="84" fillId="0" borderId="46" xfId="0" applyFont="1" applyBorder="1" applyAlignment="1">
      <alignment horizontal="center" vertical="center" wrapText="1"/>
    </xf>
    <xf numFmtId="177" fontId="84" fillId="0" borderId="46" xfId="0" applyNumberFormat="1" applyFont="1" applyBorder="1" applyAlignment="1">
      <alignment vertical="top" wrapText="1"/>
    </xf>
    <xf numFmtId="0" fontId="84" fillId="33" borderId="46" xfId="0" applyFont="1" applyFill="1" applyBorder="1" applyAlignment="1">
      <alignment vertical="top" wrapText="1"/>
    </xf>
    <xf numFmtId="177" fontId="84" fillId="33" borderId="46" xfId="0" applyNumberFormat="1" applyFont="1" applyFill="1" applyBorder="1" applyAlignment="1">
      <alignment vertical="top" wrapText="1"/>
    </xf>
    <xf numFmtId="0" fontId="84" fillId="0" borderId="47" xfId="0" applyFont="1" applyBorder="1" applyAlignment="1">
      <alignment vertical="center" wrapText="1"/>
    </xf>
    <xf numFmtId="0" fontId="84" fillId="0" borderId="47" xfId="0" applyFont="1" applyBorder="1" applyAlignment="1">
      <alignment vertical="top" wrapText="1"/>
    </xf>
    <xf numFmtId="177" fontId="84" fillId="0" borderId="47" xfId="0" applyNumberFormat="1" applyFont="1" applyBorder="1" applyAlignment="1">
      <alignment vertical="top" wrapText="1"/>
    </xf>
    <xf numFmtId="0" fontId="84" fillId="0" borderId="48" xfId="0" applyFont="1" applyBorder="1" applyAlignment="1">
      <alignment vertical="center" wrapText="1"/>
    </xf>
    <xf numFmtId="0" fontId="84" fillId="0" borderId="48" xfId="0" applyFont="1" applyBorder="1" applyAlignment="1">
      <alignment vertical="top" wrapText="1"/>
    </xf>
    <xf numFmtId="177" fontId="85" fillId="0" borderId="48" xfId="0" applyNumberFormat="1" applyFont="1" applyBorder="1" applyAlignment="1">
      <alignment vertical="top" wrapText="1"/>
    </xf>
    <xf numFmtId="0" fontId="84" fillId="0" borderId="49" xfId="0" applyFont="1" applyBorder="1" applyAlignment="1">
      <alignment vertical="center" wrapText="1"/>
    </xf>
    <xf numFmtId="0" fontId="85" fillId="0" borderId="49" xfId="0" applyFont="1" applyBorder="1" applyAlignment="1">
      <alignment horizontal="right" vertical="top" wrapText="1"/>
    </xf>
    <xf numFmtId="0" fontId="84" fillId="0" borderId="49" xfId="0" applyFont="1" applyBorder="1" applyAlignment="1">
      <alignment vertical="top" wrapText="1"/>
    </xf>
    <xf numFmtId="0" fontId="84" fillId="0" borderId="48" xfId="0" applyFont="1" applyBorder="1" applyAlignment="1">
      <alignment/>
    </xf>
    <xf numFmtId="0" fontId="85" fillId="0" borderId="48" xfId="0" applyFont="1" applyBorder="1" applyAlignment="1">
      <alignment horizontal="right" vertical="top" wrapText="1"/>
    </xf>
    <xf numFmtId="0" fontId="84" fillId="0" borderId="50" xfId="0" applyFont="1" applyBorder="1" applyAlignment="1">
      <alignment/>
    </xf>
    <xf numFmtId="177" fontId="85" fillId="0" borderId="51" xfId="0" applyNumberFormat="1" applyFont="1" applyBorder="1" applyAlignment="1">
      <alignment vertical="top" wrapText="1"/>
    </xf>
    <xf numFmtId="0" fontId="84" fillId="0" borderId="50" xfId="0" applyFont="1" applyBorder="1" applyAlignment="1">
      <alignment vertical="center" wrapText="1"/>
    </xf>
    <xf numFmtId="177" fontId="85" fillId="0" borderId="52" xfId="0" applyNumberFormat="1" applyFont="1" applyBorder="1" applyAlignment="1">
      <alignment vertical="top" wrapText="1"/>
    </xf>
    <xf numFmtId="0" fontId="84" fillId="33" borderId="47" xfId="0" applyFont="1" applyFill="1" applyBorder="1" applyAlignment="1">
      <alignment vertical="top" wrapText="1"/>
    </xf>
    <xf numFmtId="177" fontId="84" fillId="33" borderId="47" xfId="0" applyNumberFormat="1" applyFont="1" applyFill="1" applyBorder="1" applyAlignment="1">
      <alignment vertical="top" wrapText="1"/>
    </xf>
    <xf numFmtId="177" fontId="84" fillId="0" borderId="48" xfId="0" applyNumberFormat="1" applyFont="1" applyBorder="1" applyAlignment="1">
      <alignment vertical="top" wrapText="1"/>
    </xf>
    <xf numFmtId="0" fontId="84" fillId="0" borderId="48" xfId="0" applyFont="1" applyBorder="1" applyAlignment="1">
      <alignment horizontal="center" vertical="center" wrapText="1"/>
    </xf>
    <xf numFmtId="0" fontId="84" fillId="33" borderId="48" xfId="0" applyFont="1" applyFill="1" applyBorder="1" applyAlignment="1">
      <alignment vertical="top" wrapText="1"/>
    </xf>
    <xf numFmtId="177" fontId="84" fillId="33" borderId="48" xfId="0" applyNumberFormat="1" applyFont="1" applyFill="1" applyBorder="1" applyAlignment="1">
      <alignment vertical="top" wrapText="1"/>
    </xf>
    <xf numFmtId="0" fontId="84" fillId="0" borderId="50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 wrapText="1"/>
    </xf>
    <xf numFmtId="0" fontId="85" fillId="33" borderId="49" xfId="0" applyFont="1" applyFill="1" applyBorder="1" applyAlignment="1">
      <alignment horizontal="right" vertical="top" wrapText="1"/>
    </xf>
    <xf numFmtId="0" fontId="84" fillId="33" borderId="49" xfId="0" applyFont="1" applyFill="1" applyBorder="1" applyAlignment="1">
      <alignment vertical="top" wrapText="1"/>
    </xf>
    <xf numFmtId="177" fontId="85" fillId="33" borderId="51" xfId="0" applyNumberFormat="1" applyFont="1" applyFill="1" applyBorder="1" applyAlignment="1">
      <alignment vertical="top" wrapText="1"/>
    </xf>
    <xf numFmtId="0" fontId="84" fillId="0" borderId="53" xfId="0" applyFont="1" applyBorder="1" applyAlignment="1">
      <alignment vertical="center" wrapText="1"/>
    </xf>
    <xf numFmtId="0" fontId="85" fillId="0" borderId="53" xfId="0" applyFont="1" applyBorder="1" applyAlignment="1">
      <alignment horizontal="right" vertical="top" wrapText="1"/>
    </xf>
    <xf numFmtId="0" fontId="84" fillId="0" borderId="53" xfId="0" applyFont="1" applyBorder="1" applyAlignment="1">
      <alignment vertical="top" wrapText="1"/>
    </xf>
    <xf numFmtId="177" fontId="85" fillId="0" borderId="0" xfId="0" applyNumberFormat="1" applyFont="1" applyBorder="1" applyAlignment="1">
      <alignment vertical="top" wrapText="1"/>
    </xf>
    <xf numFmtId="0" fontId="84" fillId="0" borderId="46" xfId="0" applyFont="1" applyBorder="1" applyAlignment="1">
      <alignment horizontal="left" vertical="top" wrapText="1"/>
    </xf>
    <xf numFmtId="0" fontId="91" fillId="0" borderId="0" xfId="0" applyFont="1" applyAlignment="1">
      <alignment horizontal="center"/>
    </xf>
    <xf numFmtId="0" fontId="84" fillId="6" borderId="50" xfId="0" applyFont="1" applyFill="1" applyBorder="1" applyAlignment="1">
      <alignment horizontal="center" vertical="center" wrapText="1"/>
    </xf>
    <xf numFmtId="0" fontId="84" fillId="6" borderId="49" xfId="0" applyFont="1" applyFill="1" applyBorder="1" applyAlignment="1">
      <alignment horizontal="center" vertical="center" wrapText="1"/>
    </xf>
    <xf numFmtId="0" fontId="85" fillId="6" borderId="49" xfId="0" applyFont="1" applyFill="1" applyBorder="1" applyAlignment="1">
      <alignment horizontal="right" vertical="top" wrapText="1"/>
    </xf>
    <xf numFmtId="0" fontId="84" fillId="6" borderId="49" xfId="0" applyFont="1" applyFill="1" applyBorder="1" applyAlignment="1">
      <alignment vertical="top" wrapText="1"/>
    </xf>
    <xf numFmtId="177" fontId="85" fillId="6" borderId="51" xfId="0" applyNumberFormat="1" applyFont="1" applyFill="1" applyBorder="1" applyAlignment="1">
      <alignment vertical="top" wrapText="1"/>
    </xf>
    <xf numFmtId="0" fontId="85" fillId="0" borderId="47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85" fillId="0" borderId="47" xfId="0" applyFont="1" applyBorder="1" applyAlignment="1">
      <alignment horizontal="center" vertical="center" wrapText="1"/>
    </xf>
    <xf numFmtId="183" fontId="84" fillId="0" borderId="46" xfId="42" applyNumberFormat="1" applyFont="1" applyBorder="1" applyAlignment="1">
      <alignment vertical="top" wrapText="1"/>
    </xf>
    <xf numFmtId="183" fontId="84" fillId="0" borderId="47" xfId="42" applyNumberFormat="1" applyFont="1" applyBorder="1" applyAlignment="1">
      <alignment vertical="top" wrapText="1"/>
    </xf>
    <xf numFmtId="183" fontId="85" fillId="0" borderId="52" xfId="42" applyNumberFormat="1" applyFont="1" applyBorder="1" applyAlignment="1">
      <alignment vertical="top" wrapText="1"/>
    </xf>
    <xf numFmtId="183" fontId="85" fillId="0" borderId="0" xfId="42" applyNumberFormat="1" applyFont="1" applyBorder="1" applyAlignment="1">
      <alignment vertical="top" wrapText="1"/>
    </xf>
    <xf numFmtId="183" fontId="84" fillId="33" borderId="46" xfId="42" applyNumberFormat="1" applyFont="1" applyFill="1" applyBorder="1" applyAlignment="1">
      <alignment vertical="top" wrapText="1"/>
    </xf>
    <xf numFmtId="183" fontId="84" fillId="33" borderId="47" xfId="42" applyNumberFormat="1" applyFont="1" applyFill="1" applyBorder="1" applyAlignment="1">
      <alignment vertical="top" wrapText="1"/>
    </xf>
    <xf numFmtId="183" fontId="85" fillId="0" borderId="51" xfId="42" applyNumberFormat="1" applyFont="1" applyBorder="1" applyAlignment="1">
      <alignment vertical="top" wrapText="1"/>
    </xf>
    <xf numFmtId="183" fontId="85" fillId="0" borderId="48" xfId="42" applyNumberFormat="1" applyFont="1" applyBorder="1" applyAlignment="1">
      <alignment vertical="top" wrapText="1"/>
    </xf>
    <xf numFmtId="183" fontId="85" fillId="33" borderId="51" xfId="42" applyNumberFormat="1" applyFont="1" applyFill="1" applyBorder="1" applyAlignment="1">
      <alignment vertical="top" wrapText="1"/>
    </xf>
    <xf numFmtId="183" fontId="84" fillId="33" borderId="48" xfId="42" applyNumberFormat="1" applyFont="1" applyFill="1" applyBorder="1" applyAlignment="1">
      <alignment vertical="top" wrapText="1"/>
    </xf>
    <xf numFmtId="0" fontId="85" fillId="0" borderId="48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85" fillId="0" borderId="48" xfId="0" applyFont="1" applyBorder="1" applyAlignment="1">
      <alignment horizontal="center" vertical="top" wrapText="1"/>
    </xf>
    <xf numFmtId="0" fontId="85" fillId="0" borderId="48" xfId="0" applyFont="1" applyBorder="1" applyAlignment="1">
      <alignment vertical="top" wrapText="1"/>
    </xf>
    <xf numFmtId="0" fontId="85" fillId="0" borderId="48" xfId="0" applyFont="1" applyBorder="1" applyAlignment="1">
      <alignment horizontal="left" vertical="top" wrapText="1"/>
    </xf>
    <xf numFmtId="183" fontId="85" fillId="0" borderId="48" xfId="42" applyNumberFormat="1" applyFont="1" applyBorder="1" applyAlignment="1">
      <alignment horizontal="center" vertical="top" wrapText="1"/>
    </xf>
    <xf numFmtId="0" fontId="84" fillId="0" borderId="48" xfId="0" applyFont="1" applyBorder="1" applyAlignment="1">
      <alignment horizontal="left" vertical="top" wrapText="1"/>
    </xf>
    <xf numFmtId="0" fontId="84" fillId="0" borderId="54" xfId="0" applyFont="1" applyBorder="1" applyAlignment="1">
      <alignment horizontal="center" vertical="center" wrapText="1"/>
    </xf>
    <xf numFmtId="0" fontId="84" fillId="0" borderId="53" xfId="0" applyFont="1" applyBorder="1" applyAlignment="1">
      <alignment horizontal="center" vertical="center" wrapText="1"/>
    </xf>
    <xf numFmtId="0" fontId="85" fillId="33" borderId="53" xfId="0" applyFont="1" applyFill="1" applyBorder="1" applyAlignment="1">
      <alignment horizontal="right" vertical="top" wrapText="1"/>
    </xf>
    <xf numFmtId="0" fontId="84" fillId="33" borderId="53" xfId="0" applyFont="1" applyFill="1" applyBorder="1" applyAlignment="1">
      <alignment vertical="top" wrapText="1"/>
    </xf>
    <xf numFmtId="177" fontId="85" fillId="33" borderId="55" xfId="0" applyNumberFormat="1" applyFont="1" applyFill="1" applyBorder="1" applyAlignment="1">
      <alignment vertical="top" wrapText="1"/>
    </xf>
    <xf numFmtId="0" fontId="85" fillId="0" borderId="47" xfId="0" applyFont="1" applyBorder="1" applyAlignment="1">
      <alignment horizontal="left" vertical="top" wrapText="1"/>
    </xf>
    <xf numFmtId="183" fontId="84" fillId="0" borderId="0" xfId="0" applyNumberFormat="1" applyFont="1" applyAlignment="1">
      <alignment/>
    </xf>
    <xf numFmtId="183" fontId="84" fillId="0" borderId="46" xfId="0" applyNumberFormat="1" applyFont="1" applyBorder="1" applyAlignment="1">
      <alignment vertical="top" wrapText="1"/>
    </xf>
    <xf numFmtId="183" fontId="84" fillId="0" borderId="48" xfId="0" applyNumberFormat="1" applyFont="1" applyBorder="1" applyAlignment="1">
      <alignment vertical="top" wrapText="1"/>
    </xf>
    <xf numFmtId="183" fontId="85" fillId="0" borderId="52" xfId="0" applyNumberFormat="1" applyFont="1" applyBorder="1" applyAlignment="1">
      <alignment vertical="top" wrapText="1"/>
    </xf>
    <xf numFmtId="183" fontId="85" fillId="0" borderId="51" xfId="0" applyNumberFormat="1" applyFont="1" applyBorder="1" applyAlignment="1">
      <alignment vertical="top" wrapText="1"/>
    </xf>
    <xf numFmtId="183" fontId="85" fillId="33" borderId="51" xfId="0" applyNumberFormat="1" applyFont="1" applyFill="1" applyBorder="1" applyAlignment="1">
      <alignment vertical="top" wrapText="1"/>
    </xf>
    <xf numFmtId="183" fontId="84" fillId="0" borderId="47" xfId="0" applyNumberFormat="1" applyFont="1" applyBorder="1" applyAlignment="1">
      <alignment vertical="top" wrapText="1"/>
    </xf>
    <xf numFmtId="183" fontId="84" fillId="33" borderId="46" xfId="0" applyNumberFormat="1" applyFont="1" applyFill="1" applyBorder="1" applyAlignment="1">
      <alignment vertical="top" wrapText="1"/>
    </xf>
    <xf numFmtId="0" fontId="91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83" fontId="0" fillId="0" borderId="58" xfId="42" applyNumberFormat="1" applyFont="1" applyBorder="1" applyAlignment="1">
      <alignment/>
    </xf>
    <xf numFmtId="183" fontId="85" fillId="0" borderId="0" xfId="0" applyNumberFormat="1" applyFont="1" applyAlignment="1">
      <alignment/>
    </xf>
    <xf numFmtId="183" fontId="84" fillId="0" borderId="48" xfId="42" applyNumberFormat="1" applyFont="1" applyBorder="1" applyAlignment="1">
      <alignment vertical="top" wrapText="1"/>
    </xf>
    <xf numFmtId="0" fontId="84" fillId="0" borderId="49" xfId="0" applyFont="1" applyBorder="1" applyAlignment="1">
      <alignment/>
    </xf>
    <xf numFmtId="177" fontId="84" fillId="0" borderId="0" xfId="0" applyNumberFormat="1" applyFont="1" applyAlignment="1">
      <alignment/>
    </xf>
    <xf numFmtId="183" fontId="89" fillId="0" borderId="0" xfId="42" applyNumberFormat="1" applyFont="1" applyAlignment="1">
      <alignment/>
    </xf>
    <xf numFmtId="183" fontId="85" fillId="0" borderId="48" xfId="0" applyNumberFormat="1" applyFont="1" applyBorder="1" applyAlignment="1">
      <alignment vertical="top" wrapText="1"/>
    </xf>
    <xf numFmtId="0" fontId="85" fillId="0" borderId="46" xfId="0" applyFont="1" applyBorder="1" applyAlignment="1">
      <alignment horizontal="right" vertical="top" wrapText="1"/>
    </xf>
    <xf numFmtId="183" fontId="85" fillId="0" borderId="46" xfId="0" applyNumberFormat="1" applyFont="1" applyBorder="1" applyAlignment="1">
      <alignment vertical="top" wrapText="1"/>
    </xf>
    <xf numFmtId="183" fontId="84" fillId="33" borderId="47" xfId="0" applyNumberFormat="1" applyFont="1" applyFill="1" applyBorder="1" applyAlignment="1">
      <alignment vertical="top" wrapText="1"/>
    </xf>
    <xf numFmtId="0" fontId="85" fillId="0" borderId="0" xfId="0" applyFont="1" applyBorder="1" applyAlignment="1">
      <alignment vertical="top" wrapText="1"/>
    </xf>
    <xf numFmtId="0" fontId="84" fillId="0" borderId="0" xfId="0" applyFont="1" applyBorder="1" applyAlignment="1">
      <alignment horizontal="left" vertical="top" wrapText="1" indent="5"/>
    </xf>
    <xf numFmtId="183" fontId="84" fillId="0" borderId="0" xfId="42" applyNumberFormat="1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84" fillId="0" borderId="59" xfId="0" applyFont="1" applyBorder="1" applyAlignment="1">
      <alignment vertical="top" wrapText="1"/>
    </xf>
    <xf numFmtId="183" fontId="84" fillId="0" borderId="59" xfId="42" applyNumberFormat="1" applyFont="1" applyBorder="1" applyAlignment="1">
      <alignment vertical="top" wrapText="1"/>
    </xf>
    <xf numFmtId="0" fontId="84" fillId="0" borderId="60" xfId="0" applyFont="1" applyBorder="1" applyAlignment="1">
      <alignment vertical="center" wrapText="1"/>
    </xf>
    <xf numFmtId="183" fontId="85" fillId="33" borderId="55" xfId="42" applyNumberFormat="1" applyFont="1" applyFill="1" applyBorder="1" applyAlignment="1">
      <alignment vertical="top" wrapText="1"/>
    </xf>
    <xf numFmtId="177" fontId="85" fillId="0" borderId="46" xfId="0" applyNumberFormat="1" applyFont="1" applyBorder="1" applyAlignment="1">
      <alignment vertical="top" wrapText="1"/>
    </xf>
    <xf numFmtId="0" fontId="85" fillId="0" borderId="47" xfId="0" applyFont="1" applyBorder="1" applyAlignment="1">
      <alignment horizontal="center" vertical="top" wrapText="1"/>
    </xf>
    <xf numFmtId="182" fontId="84" fillId="0" borderId="0" xfId="42" applyNumberFormat="1" applyFont="1" applyAlignment="1">
      <alignment/>
    </xf>
    <xf numFmtId="183" fontId="85" fillId="0" borderId="53" xfId="42" applyNumberFormat="1" applyFont="1" applyBorder="1" applyAlignment="1">
      <alignment vertical="top" wrapText="1"/>
    </xf>
    <xf numFmtId="0" fontId="84" fillId="0" borderId="49" xfId="0" applyFont="1" applyBorder="1" applyAlignment="1">
      <alignment/>
    </xf>
    <xf numFmtId="0" fontId="84" fillId="0" borderId="53" xfId="0" applyFont="1" applyBorder="1" applyAlignment="1">
      <alignment horizontal="left" vertical="top" wrapText="1"/>
    </xf>
    <xf numFmtId="183" fontId="84" fillId="0" borderId="46" xfId="42" applyNumberFormat="1" applyFont="1" applyBorder="1" applyAlignment="1">
      <alignment horizontal="center" vertical="top" wrapText="1"/>
    </xf>
    <xf numFmtId="183" fontId="84" fillId="0" borderId="55" xfId="42" applyNumberFormat="1" applyFont="1" applyBorder="1" applyAlignment="1">
      <alignment horizontal="center" vertical="top" wrapText="1"/>
    </xf>
    <xf numFmtId="0" fontId="85" fillId="0" borderId="49" xfId="0" applyFont="1" applyBorder="1" applyAlignment="1">
      <alignment horizontal="center" vertical="top" wrapText="1"/>
    </xf>
    <xf numFmtId="0" fontId="90" fillId="0" borderId="0" xfId="0" applyFont="1" applyAlignment="1">
      <alignment/>
    </xf>
    <xf numFmtId="0" fontId="92" fillId="0" borderId="0" xfId="0" applyFont="1" applyAlignment="1">
      <alignment horizontal="center"/>
    </xf>
    <xf numFmtId="0" fontId="93" fillId="0" borderId="46" xfId="0" applyFont="1" applyBorder="1" applyAlignment="1">
      <alignment horizontal="center" vertical="top" wrapText="1"/>
    </xf>
    <xf numFmtId="0" fontId="93" fillId="0" borderId="46" xfId="0" applyFont="1" applyBorder="1" applyAlignment="1">
      <alignment horizontal="left" vertical="top" wrapText="1"/>
    </xf>
    <xf numFmtId="0" fontId="93" fillId="0" borderId="46" xfId="0" applyFont="1" applyBorder="1" applyAlignment="1">
      <alignment vertical="top" wrapText="1"/>
    </xf>
    <xf numFmtId="183" fontId="93" fillId="0" borderId="46" xfId="42" applyNumberFormat="1" applyFont="1" applyBorder="1" applyAlignment="1">
      <alignment horizontal="center" vertical="top" wrapText="1"/>
    </xf>
    <xf numFmtId="0" fontId="94" fillId="0" borderId="0" xfId="0" applyFont="1" applyAlignment="1">
      <alignment vertical="top" wrapText="1"/>
    </xf>
    <xf numFmtId="0" fontId="94" fillId="0" borderId="0" xfId="0" applyFont="1" applyAlignment="1">
      <alignment/>
    </xf>
    <xf numFmtId="183" fontId="95" fillId="0" borderId="0" xfId="42" applyNumberFormat="1" applyFont="1" applyBorder="1" applyAlignment="1">
      <alignment vertical="top" wrapText="1"/>
    </xf>
    <xf numFmtId="183" fontId="95" fillId="0" borderId="0" xfId="42" applyNumberFormat="1" applyFont="1" applyBorder="1" applyAlignment="1">
      <alignment horizontal="center" vertical="top" wrapText="1"/>
    </xf>
    <xf numFmtId="0" fontId="95" fillId="0" borderId="0" xfId="0" applyFont="1" applyBorder="1" applyAlignment="1">
      <alignment vertical="top" wrapText="1"/>
    </xf>
    <xf numFmtId="0" fontId="90" fillId="0" borderId="50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5" fillId="0" borderId="49" xfId="0" applyFont="1" applyBorder="1" applyAlignment="1">
      <alignment/>
    </xf>
    <xf numFmtId="0" fontId="90" fillId="33" borderId="49" xfId="0" applyFont="1" applyFill="1" applyBorder="1" applyAlignment="1">
      <alignment vertical="top" wrapText="1"/>
    </xf>
    <xf numFmtId="183" fontId="93" fillId="33" borderId="51" xfId="0" applyNumberFormat="1" applyFont="1" applyFill="1" applyBorder="1" applyAlignment="1">
      <alignment vertical="top" wrapText="1"/>
    </xf>
    <xf numFmtId="0" fontId="96" fillId="0" borderId="0" xfId="0" applyFont="1" applyAlignment="1">
      <alignment vertical="top" wrapText="1"/>
    </xf>
    <xf numFmtId="0" fontId="90" fillId="0" borderId="50" xfId="0" applyFont="1" applyBorder="1" applyAlignment="1">
      <alignment vertical="center" wrapText="1"/>
    </xf>
    <xf numFmtId="0" fontId="90" fillId="0" borderId="49" xfId="0" applyFont="1" applyBorder="1" applyAlignment="1">
      <alignment vertical="center" wrapText="1"/>
    </xf>
    <xf numFmtId="0" fontId="93" fillId="0" borderId="49" xfId="0" applyFont="1" applyBorder="1" applyAlignment="1">
      <alignment horizontal="right" vertical="top" wrapText="1"/>
    </xf>
    <xf numFmtId="0" fontId="90" fillId="0" borderId="49" xfId="0" applyFont="1" applyBorder="1" applyAlignment="1">
      <alignment vertical="top" wrapText="1"/>
    </xf>
    <xf numFmtId="183" fontId="93" fillId="0" borderId="52" xfId="0" applyNumberFormat="1" applyFont="1" applyBorder="1" applyAlignment="1">
      <alignment vertical="top" wrapText="1"/>
    </xf>
    <xf numFmtId="0" fontId="90" fillId="33" borderId="46" xfId="0" applyFont="1" applyFill="1" applyBorder="1" applyAlignment="1">
      <alignment vertical="top" wrapText="1"/>
    </xf>
    <xf numFmtId="3" fontId="90" fillId="33" borderId="46" xfId="0" applyNumberFormat="1" applyFont="1" applyFill="1" applyBorder="1" applyAlignment="1">
      <alignment vertical="top" wrapText="1"/>
    </xf>
    <xf numFmtId="183" fontId="90" fillId="33" borderId="46" xfId="0" applyNumberFormat="1" applyFont="1" applyFill="1" applyBorder="1" applyAlignment="1">
      <alignment horizontal="right" vertical="top" wrapText="1"/>
    </xf>
    <xf numFmtId="0" fontId="93" fillId="33" borderId="49" xfId="0" applyFont="1" applyFill="1" applyBorder="1" applyAlignment="1">
      <alignment horizontal="right" vertical="top" wrapText="1"/>
    </xf>
    <xf numFmtId="0" fontId="90" fillId="0" borderId="50" xfId="0" applyFont="1" applyBorder="1" applyAlignment="1">
      <alignment/>
    </xf>
    <xf numFmtId="183" fontId="93" fillId="0" borderId="51" xfId="0" applyNumberFormat="1" applyFont="1" applyBorder="1" applyAlignment="1">
      <alignment vertical="top" wrapText="1"/>
    </xf>
    <xf numFmtId="0" fontId="90" fillId="0" borderId="46" xfId="0" applyFont="1" applyBorder="1" applyAlignment="1">
      <alignment vertical="center" wrapText="1"/>
    </xf>
    <xf numFmtId="0" fontId="90" fillId="0" borderId="46" xfId="0" applyFont="1" applyBorder="1" applyAlignment="1">
      <alignment horizontal="center" vertical="center" wrapText="1"/>
    </xf>
    <xf numFmtId="183" fontId="90" fillId="33" borderId="46" xfId="0" applyNumberFormat="1" applyFont="1" applyFill="1" applyBorder="1" applyAlignment="1">
      <alignment vertical="top" wrapText="1"/>
    </xf>
    <xf numFmtId="183" fontId="90" fillId="0" borderId="0" xfId="0" applyNumberFormat="1" applyFont="1" applyAlignment="1">
      <alignment/>
    </xf>
    <xf numFmtId="177" fontId="94" fillId="0" borderId="0" xfId="42" applyFont="1" applyAlignment="1">
      <alignment vertical="top" wrapText="1"/>
    </xf>
    <xf numFmtId="177" fontId="95" fillId="0" borderId="0" xfId="42" applyFont="1" applyBorder="1" applyAlignment="1">
      <alignment vertical="top" wrapText="1"/>
    </xf>
    <xf numFmtId="0" fontId="94" fillId="0" borderId="61" xfId="0" applyFont="1" applyBorder="1" applyAlignment="1">
      <alignment vertical="top" wrapText="1"/>
    </xf>
    <xf numFmtId="0" fontId="94" fillId="0" borderId="61" xfId="0" applyFont="1" applyBorder="1" applyAlignment="1">
      <alignment/>
    </xf>
    <xf numFmtId="183" fontId="95" fillId="0" borderId="61" xfId="42" applyNumberFormat="1" applyFont="1" applyBorder="1" applyAlignment="1">
      <alignment vertical="top" wrapText="1"/>
    </xf>
    <xf numFmtId="0" fontId="94" fillId="0" borderId="46" xfId="0" applyFont="1" applyBorder="1" applyAlignment="1">
      <alignment vertical="top" wrapText="1"/>
    </xf>
    <xf numFmtId="0" fontId="94" fillId="0" borderId="46" xfId="0" applyFont="1" applyBorder="1" applyAlignment="1">
      <alignment/>
    </xf>
    <xf numFmtId="183" fontId="95" fillId="0" borderId="46" xfId="42" applyNumberFormat="1" applyFont="1" applyBorder="1" applyAlignment="1">
      <alignment vertical="top" wrapText="1"/>
    </xf>
    <xf numFmtId="183" fontId="95" fillId="0" borderId="46" xfId="42" applyNumberFormat="1" applyFont="1" applyBorder="1" applyAlignment="1">
      <alignment horizontal="center" vertical="top" wrapText="1"/>
    </xf>
    <xf numFmtId="0" fontId="95" fillId="0" borderId="46" xfId="0" applyFont="1" applyBorder="1" applyAlignment="1">
      <alignment vertical="top" wrapText="1"/>
    </xf>
    <xf numFmtId="177" fontId="94" fillId="0" borderId="46" xfId="42" applyFont="1" applyBorder="1" applyAlignment="1">
      <alignment vertical="top" wrapText="1"/>
    </xf>
    <xf numFmtId="177" fontId="95" fillId="0" borderId="46" xfId="42" applyFont="1" applyBorder="1" applyAlignment="1">
      <alignment vertical="top" wrapText="1"/>
    </xf>
    <xf numFmtId="0" fontId="94" fillId="0" borderId="62" xfId="0" applyFont="1" applyBorder="1" applyAlignment="1">
      <alignment vertical="top" wrapText="1"/>
    </xf>
    <xf numFmtId="0" fontId="94" fillId="0" borderId="62" xfId="0" applyFont="1" applyBorder="1" applyAlignment="1">
      <alignment/>
    </xf>
    <xf numFmtId="0" fontId="95" fillId="0" borderId="62" xfId="0" applyFont="1" applyBorder="1" applyAlignment="1">
      <alignment vertical="top" wrapText="1"/>
    </xf>
    <xf numFmtId="183" fontId="95" fillId="0" borderId="62" xfId="42" applyNumberFormat="1" applyFont="1" applyBorder="1" applyAlignment="1">
      <alignment vertical="top" wrapText="1"/>
    </xf>
    <xf numFmtId="0" fontId="90" fillId="0" borderId="48" xfId="0" applyFont="1" applyBorder="1" applyAlignment="1">
      <alignment vertical="top" wrapText="1"/>
    </xf>
    <xf numFmtId="183" fontId="90" fillId="0" borderId="48" xfId="42" applyNumberFormat="1" applyFont="1" applyBorder="1" applyAlignment="1">
      <alignment vertical="top" wrapText="1"/>
    </xf>
    <xf numFmtId="0" fontId="90" fillId="0" borderId="46" xfId="0" applyFont="1" applyBorder="1" applyAlignment="1">
      <alignment vertical="top" wrapText="1"/>
    </xf>
    <xf numFmtId="0" fontId="90" fillId="0" borderId="46" xfId="0" applyFont="1" applyBorder="1" applyAlignment="1">
      <alignment horizontal="left" vertical="top" wrapText="1"/>
    </xf>
    <xf numFmtId="183" fontId="90" fillId="0" borderId="46" xfId="42" applyNumberFormat="1" applyFont="1" applyBorder="1" applyAlignment="1">
      <alignment horizontal="center" vertical="top" wrapText="1"/>
    </xf>
    <xf numFmtId="0" fontId="90" fillId="0" borderId="47" xfId="0" applyFont="1" applyBorder="1" applyAlignment="1">
      <alignment vertical="top" wrapText="1"/>
    </xf>
    <xf numFmtId="183" fontId="90" fillId="0" borderId="47" xfId="0" applyNumberFormat="1" applyFont="1" applyBorder="1" applyAlignment="1">
      <alignment vertical="top" wrapText="1"/>
    </xf>
    <xf numFmtId="183" fontId="93" fillId="33" borderId="51" xfId="42" applyNumberFormat="1" applyFont="1" applyFill="1" applyBorder="1" applyAlignment="1">
      <alignment vertical="top" wrapText="1"/>
    </xf>
    <xf numFmtId="183" fontId="90" fillId="0" borderId="46" xfId="42" applyNumberFormat="1" applyFont="1" applyBorder="1" applyAlignment="1">
      <alignment vertical="top" wrapText="1"/>
    </xf>
    <xf numFmtId="183" fontId="90" fillId="0" borderId="46" xfId="0" applyNumberFormat="1" applyFont="1" applyBorder="1" applyAlignment="1">
      <alignment vertical="top" wrapText="1"/>
    </xf>
    <xf numFmtId="177" fontId="95" fillId="0" borderId="0" xfId="42" applyFont="1" applyBorder="1" applyAlignment="1">
      <alignment horizontal="center" vertical="top" wrapText="1"/>
    </xf>
    <xf numFmtId="0" fontId="90" fillId="0" borderId="49" xfId="0" applyFont="1" applyBorder="1" applyAlignment="1">
      <alignment/>
    </xf>
    <xf numFmtId="183" fontId="93" fillId="0" borderId="51" xfId="42" applyNumberFormat="1" applyFont="1" applyBorder="1" applyAlignment="1">
      <alignment vertical="top" wrapText="1"/>
    </xf>
    <xf numFmtId="177" fontId="90" fillId="0" borderId="47" xfId="0" applyNumberFormat="1" applyFont="1" applyBorder="1" applyAlignment="1">
      <alignment vertical="top" wrapText="1"/>
    </xf>
    <xf numFmtId="177" fontId="90" fillId="0" borderId="46" xfId="0" applyNumberFormat="1" applyFont="1" applyBorder="1" applyAlignment="1">
      <alignment vertical="top" wrapText="1"/>
    </xf>
    <xf numFmtId="0" fontId="93" fillId="0" borderId="53" xfId="0" applyFont="1" applyBorder="1" applyAlignment="1">
      <alignment horizontal="right" vertical="top" wrapText="1"/>
    </xf>
    <xf numFmtId="0" fontId="90" fillId="0" borderId="53" xfId="0" applyFont="1" applyBorder="1" applyAlignment="1">
      <alignment vertical="top" wrapText="1"/>
    </xf>
    <xf numFmtId="183" fontId="93" fillId="0" borderId="53" xfId="42" applyNumberFormat="1" applyFont="1" applyBorder="1" applyAlignment="1">
      <alignment vertical="top" wrapText="1"/>
    </xf>
    <xf numFmtId="0" fontId="90" fillId="33" borderId="47" xfId="0" applyFont="1" applyFill="1" applyBorder="1" applyAlignment="1">
      <alignment vertical="top" wrapText="1"/>
    </xf>
    <xf numFmtId="183" fontId="90" fillId="33" borderId="47" xfId="42" applyNumberFormat="1" applyFont="1" applyFill="1" applyBorder="1" applyAlignment="1">
      <alignment vertical="top" wrapText="1"/>
    </xf>
    <xf numFmtId="183" fontId="90" fillId="33" borderId="46" xfId="42" applyNumberFormat="1" applyFont="1" applyFill="1" applyBorder="1" applyAlignment="1">
      <alignment vertical="top" wrapText="1"/>
    </xf>
    <xf numFmtId="183" fontId="90" fillId="0" borderId="47" xfId="42" applyNumberFormat="1" applyFont="1" applyBorder="1" applyAlignment="1">
      <alignment vertical="top" wrapText="1"/>
    </xf>
    <xf numFmtId="183" fontId="93" fillId="0" borderId="52" xfId="42" applyNumberFormat="1" applyFont="1" applyBorder="1" applyAlignment="1">
      <alignment vertical="top" wrapText="1"/>
    </xf>
    <xf numFmtId="0" fontId="93" fillId="33" borderId="53" xfId="0" applyFont="1" applyFill="1" applyBorder="1" applyAlignment="1">
      <alignment horizontal="right" vertical="top" wrapText="1"/>
    </xf>
    <xf numFmtId="0" fontId="90" fillId="33" borderId="53" xfId="0" applyFont="1" applyFill="1" applyBorder="1" applyAlignment="1">
      <alignment vertical="top" wrapText="1"/>
    </xf>
    <xf numFmtId="183" fontId="90" fillId="0" borderId="0" xfId="42" applyNumberFormat="1" applyFont="1" applyAlignment="1">
      <alignment/>
    </xf>
    <xf numFmtId="0" fontId="93" fillId="0" borderId="60" xfId="0" applyFont="1" applyBorder="1" applyAlignment="1">
      <alignment vertical="center" wrapText="1"/>
    </xf>
    <xf numFmtId="0" fontId="93" fillId="0" borderId="53" xfId="0" applyFont="1" applyBorder="1" applyAlignment="1">
      <alignment vertical="center" wrapText="1"/>
    </xf>
    <xf numFmtId="0" fontId="93" fillId="0" borderId="60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93" fillId="0" borderId="59" xfId="0" applyFont="1" applyBorder="1" applyAlignment="1">
      <alignment vertical="center" wrapText="1"/>
    </xf>
    <xf numFmtId="0" fontId="90" fillId="33" borderId="61" xfId="0" applyFont="1" applyFill="1" applyBorder="1" applyAlignment="1">
      <alignment vertical="top" wrapText="1"/>
    </xf>
    <xf numFmtId="183" fontId="90" fillId="33" borderId="61" xfId="42" applyNumberFormat="1" applyFont="1" applyFill="1" applyBorder="1" applyAlignment="1">
      <alignment vertical="top" wrapText="1"/>
    </xf>
    <xf numFmtId="0" fontId="90" fillId="0" borderId="48" xfId="0" applyFont="1" applyBorder="1" applyAlignment="1">
      <alignment horizontal="left" vertical="top" wrapText="1"/>
    </xf>
    <xf numFmtId="0" fontId="90" fillId="0" borderId="0" xfId="0" applyFont="1" applyBorder="1" applyAlignment="1">
      <alignment vertical="top" wrapText="1"/>
    </xf>
    <xf numFmtId="183" fontId="90" fillId="0" borderId="0" xfId="42" applyNumberFormat="1" applyFont="1" applyBorder="1" applyAlignment="1">
      <alignment vertical="top" wrapText="1"/>
    </xf>
    <xf numFmtId="0" fontId="90" fillId="0" borderId="47" xfId="0" applyFont="1" applyBorder="1" applyAlignment="1">
      <alignment vertical="center" wrapText="1"/>
    </xf>
    <xf numFmtId="183" fontId="90" fillId="0" borderId="48" xfId="0" applyNumberFormat="1" applyFont="1" applyBorder="1" applyAlignment="1">
      <alignment vertical="top" wrapText="1"/>
    </xf>
    <xf numFmtId="0" fontId="93" fillId="0" borderId="46" xfId="0" applyFont="1" applyBorder="1" applyAlignment="1">
      <alignment horizontal="right" vertical="top" wrapText="1"/>
    </xf>
    <xf numFmtId="183" fontId="93" fillId="0" borderId="46" xfId="0" applyNumberFormat="1" applyFont="1" applyBorder="1" applyAlignment="1">
      <alignment vertical="top" wrapText="1"/>
    </xf>
    <xf numFmtId="0" fontId="93" fillId="0" borderId="60" xfId="0" applyFont="1" applyBorder="1" applyAlignment="1">
      <alignment horizontal="right" vertical="top" wrapText="1"/>
    </xf>
    <xf numFmtId="0" fontId="90" fillId="0" borderId="60" xfId="0" applyFont="1" applyBorder="1" applyAlignment="1">
      <alignment vertical="top" wrapText="1"/>
    </xf>
    <xf numFmtId="183" fontId="93" fillId="0" borderId="63" xfId="0" applyNumberFormat="1" applyFont="1" applyBorder="1" applyAlignment="1">
      <alignment vertical="top" wrapText="1"/>
    </xf>
    <xf numFmtId="0" fontId="90" fillId="0" borderId="62" xfId="0" applyFont="1" applyBorder="1" applyAlignment="1">
      <alignment vertical="top" wrapText="1"/>
    </xf>
    <xf numFmtId="183" fontId="90" fillId="0" borderId="62" xfId="0" applyNumberFormat="1" applyFont="1" applyBorder="1" applyAlignment="1">
      <alignment vertical="top" wrapText="1"/>
    </xf>
    <xf numFmtId="177" fontId="93" fillId="0" borderId="46" xfId="42" applyFont="1" applyBorder="1" applyAlignment="1">
      <alignment horizontal="center" vertical="top" wrapText="1"/>
    </xf>
    <xf numFmtId="177" fontId="90" fillId="0" borderId="48" xfId="42" applyFont="1" applyBorder="1" applyAlignment="1">
      <alignment vertical="top" wrapText="1"/>
    </xf>
    <xf numFmtId="177" fontId="90" fillId="0" borderId="47" xfId="42" applyFont="1" applyBorder="1" applyAlignment="1">
      <alignment vertical="top" wrapText="1"/>
    </xf>
    <xf numFmtId="177" fontId="93" fillId="33" borderId="51" xfId="42" applyFont="1" applyFill="1" applyBorder="1" applyAlignment="1">
      <alignment vertical="top" wrapText="1"/>
    </xf>
    <xf numFmtId="177" fontId="90" fillId="0" borderId="46" xfId="42" applyFont="1" applyBorder="1" applyAlignment="1">
      <alignment vertical="top" wrapText="1"/>
    </xf>
    <xf numFmtId="177" fontId="90" fillId="33" borderId="46" xfId="42" applyFont="1" applyFill="1" applyBorder="1" applyAlignment="1">
      <alignment vertical="top" wrapText="1"/>
    </xf>
    <xf numFmtId="177" fontId="93" fillId="0" borderId="51" xfId="42" applyFont="1" applyBorder="1" applyAlignment="1">
      <alignment vertical="top" wrapText="1"/>
    </xf>
    <xf numFmtId="177" fontId="93" fillId="0" borderId="52" xfId="42" applyFont="1" applyBorder="1" applyAlignment="1">
      <alignment vertical="top" wrapText="1"/>
    </xf>
    <xf numFmtId="177" fontId="90" fillId="0" borderId="0" xfId="42" applyFont="1" applyAlignment="1">
      <alignment/>
    </xf>
    <xf numFmtId="183" fontId="90" fillId="0" borderId="62" xfId="42" applyNumberFormat="1" applyFont="1" applyBorder="1" applyAlignment="1">
      <alignment vertical="top" wrapText="1"/>
    </xf>
    <xf numFmtId="177" fontId="92" fillId="0" borderId="0" xfId="42" applyFont="1" applyAlignment="1">
      <alignment horizontal="center"/>
    </xf>
    <xf numFmtId="177" fontId="93" fillId="0" borderId="64" xfId="42" applyFont="1" applyBorder="1" applyAlignment="1">
      <alignment horizontal="center" vertical="top" wrapText="1"/>
    </xf>
    <xf numFmtId="177" fontId="93" fillId="0" borderId="64" xfId="42" applyFont="1" applyBorder="1" applyAlignment="1">
      <alignment horizontal="left" vertical="top" wrapText="1"/>
    </xf>
    <xf numFmtId="177" fontId="93" fillId="0" borderId="46" xfId="42" applyFont="1" applyBorder="1" applyAlignment="1">
      <alignment vertical="top" wrapText="1"/>
    </xf>
    <xf numFmtId="177" fontId="93" fillId="0" borderId="46" xfId="42" applyFont="1" applyBorder="1" applyAlignment="1">
      <alignment horizontal="left" vertical="top" wrapText="1"/>
    </xf>
    <xf numFmtId="177" fontId="90" fillId="0" borderId="50" xfId="42" applyFont="1" applyBorder="1" applyAlignment="1">
      <alignment horizontal="center" vertical="center" wrapText="1"/>
    </xf>
    <xf numFmtId="177" fontId="90" fillId="0" borderId="49" xfId="42" applyFont="1" applyBorder="1" applyAlignment="1">
      <alignment horizontal="center" vertical="center" wrapText="1"/>
    </xf>
    <xf numFmtId="177" fontId="93" fillId="33" borderId="49" xfId="42" applyFont="1" applyFill="1" applyBorder="1" applyAlignment="1">
      <alignment horizontal="right" vertical="top" wrapText="1"/>
    </xf>
    <xf numFmtId="177" fontId="90" fillId="33" borderId="49" xfId="42" applyFont="1" applyFill="1" applyBorder="1" applyAlignment="1">
      <alignment vertical="top" wrapText="1"/>
    </xf>
    <xf numFmtId="177" fontId="90" fillId="0" borderId="50" xfId="42" applyFont="1" applyBorder="1" applyAlignment="1">
      <alignment vertical="center" wrapText="1"/>
    </xf>
    <xf numFmtId="177" fontId="90" fillId="0" borderId="49" xfId="42" applyFont="1" applyBorder="1" applyAlignment="1">
      <alignment vertical="center" wrapText="1"/>
    </xf>
    <xf numFmtId="177" fontId="93" fillId="0" borderId="49" xfId="42" applyFont="1" applyBorder="1" applyAlignment="1">
      <alignment horizontal="right" vertical="top" wrapText="1"/>
    </xf>
    <xf numFmtId="177" fontId="90" fillId="0" borderId="49" xfId="42" applyFont="1" applyBorder="1" applyAlignment="1">
      <alignment vertical="top" wrapText="1"/>
    </xf>
    <xf numFmtId="177" fontId="90" fillId="33" borderId="46" xfId="42" applyFont="1" applyFill="1" applyBorder="1" applyAlignment="1">
      <alignment horizontal="right" vertical="top" wrapText="1"/>
    </xf>
    <xf numFmtId="177" fontId="90" fillId="0" borderId="50" xfId="42" applyFont="1" applyBorder="1" applyAlignment="1">
      <alignment/>
    </xf>
    <xf numFmtId="177" fontId="95" fillId="0" borderId="0" xfId="42" applyFont="1" applyBorder="1" applyAlignment="1">
      <alignment/>
    </xf>
    <xf numFmtId="177" fontId="90" fillId="0" borderId="46" xfId="42" applyFont="1" applyBorder="1" applyAlignment="1">
      <alignment vertical="center" wrapText="1"/>
    </xf>
    <xf numFmtId="177" fontId="90" fillId="0" borderId="46" xfId="42" applyFont="1" applyBorder="1" applyAlignment="1">
      <alignment horizontal="center" vertical="center" wrapText="1"/>
    </xf>
    <xf numFmtId="177" fontId="93" fillId="0" borderId="52" xfId="0" applyNumberFormat="1" applyFont="1" applyBorder="1" applyAlignment="1">
      <alignment vertical="top" wrapText="1"/>
    </xf>
    <xf numFmtId="177" fontId="90" fillId="0" borderId="48" xfId="0" applyNumberFormat="1" applyFont="1" applyBorder="1" applyAlignment="1">
      <alignment vertical="top" wrapText="1"/>
    </xf>
    <xf numFmtId="177" fontId="93" fillId="0" borderId="51" xfId="0" applyNumberFormat="1" applyFont="1" applyBorder="1" applyAlignment="1">
      <alignment vertical="top" wrapText="1"/>
    </xf>
    <xf numFmtId="177" fontId="90" fillId="33" borderId="47" xfId="0" applyNumberFormat="1" applyFont="1" applyFill="1" applyBorder="1" applyAlignment="1">
      <alignment vertical="top" wrapText="1"/>
    </xf>
    <xf numFmtId="177" fontId="93" fillId="33" borderId="51" xfId="0" applyNumberFormat="1" applyFont="1" applyFill="1" applyBorder="1" applyAlignment="1">
      <alignment vertical="top" wrapText="1"/>
    </xf>
    <xf numFmtId="0" fontId="90" fillId="33" borderId="48" xfId="0" applyFont="1" applyFill="1" applyBorder="1" applyAlignment="1">
      <alignment vertical="top" wrapText="1"/>
    </xf>
    <xf numFmtId="177" fontId="90" fillId="33" borderId="48" xfId="0" applyNumberFormat="1" applyFont="1" applyFill="1" applyBorder="1" applyAlignment="1">
      <alignment vertical="top" wrapText="1"/>
    </xf>
    <xf numFmtId="177" fontId="90" fillId="33" borderId="46" xfId="0" applyNumberFormat="1" applyFont="1" applyFill="1" applyBorder="1" applyAlignment="1">
      <alignment vertical="top" wrapText="1"/>
    </xf>
    <xf numFmtId="183" fontId="93" fillId="0" borderId="0" xfId="0" applyNumberFormat="1" applyFont="1" applyAlignment="1">
      <alignment/>
    </xf>
    <xf numFmtId="183" fontId="90" fillId="0" borderId="53" xfId="0" applyNumberFormat="1" applyFont="1" applyBorder="1" applyAlignment="1">
      <alignment vertical="top" wrapText="1"/>
    </xf>
    <xf numFmtId="0" fontId="90" fillId="0" borderId="59" xfId="0" applyFont="1" applyBorder="1" applyAlignment="1">
      <alignment vertical="top" wrapText="1"/>
    </xf>
    <xf numFmtId="183" fontId="90" fillId="0" borderId="59" xfId="0" applyNumberFormat="1" applyFont="1" applyBorder="1" applyAlignment="1">
      <alignment vertical="top" wrapText="1"/>
    </xf>
    <xf numFmtId="0" fontId="90" fillId="0" borderId="49" xfId="0" applyFont="1" applyBorder="1" applyAlignment="1">
      <alignment/>
    </xf>
    <xf numFmtId="177" fontId="90" fillId="0" borderId="0" xfId="0" applyNumberFormat="1" applyFont="1" applyAlignment="1">
      <alignment/>
    </xf>
    <xf numFmtId="177" fontId="90" fillId="33" borderId="55" xfId="0" applyNumberFormat="1" applyFont="1" applyFill="1" applyBorder="1" applyAlignment="1">
      <alignment vertical="top" wrapText="1"/>
    </xf>
    <xf numFmtId="0" fontId="90" fillId="0" borderId="48" xfId="0" applyFont="1" applyBorder="1" applyAlignment="1">
      <alignment horizontal="center" vertical="center" wrapText="1"/>
    </xf>
    <xf numFmtId="0" fontId="93" fillId="0" borderId="48" xfId="0" applyFont="1" applyBorder="1" applyAlignment="1">
      <alignment horizontal="center" vertical="center" wrapText="1"/>
    </xf>
    <xf numFmtId="177" fontId="93" fillId="33" borderId="55" xfId="0" applyNumberFormat="1" applyFont="1" applyFill="1" applyBorder="1" applyAlignment="1">
      <alignment vertical="top" wrapText="1"/>
    </xf>
    <xf numFmtId="177" fontId="97" fillId="0" borderId="0" xfId="0" applyNumberFormat="1" applyFont="1" applyAlignment="1">
      <alignment/>
    </xf>
    <xf numFmtId="183" fontId="90" fillId="0" borderId="53" xfId="42" applyNumberFormat="1" applyFont="1" applyBorder="1" applyAlignment="1">
      <alignment vertical="top" wrapText="1"/>
    </xf>
    <xf numFmtId="0" fontId="90" fillId="0" borderId="59" xfId="0" applyFont="1" applyBorder="1" applyAlignment="1">
      <alignment vertical="center" wrapText="1"/>
    </xf>
    <xf numFmtId="183" fontId="97" fillId="0" borderId="0" xfId="42" applyNumberFormat="1" applyFont="1" applyAlignment="1">
      <alignment/>
    </xf>
    <xf numFmtId="0" fontId="98" fillId="35" borderId="65" xfId="0" applyFont="1" applyFill="1" applyBorder="1" applyAlignment="1">
      <alignment vertical="top" wrapText="1"/>
    </xf>
    <xf numFmtId="0" fontId="98" fillId="35" borderId="61" xfId="0" applyFont="1" applyFill="1" applyBorder="1" applyAlignment="1">
      <alignment vertical="top" wrapText="1"/>
    </xf>
    <xf numFmtId="0" fontId="98" fillId="35" borderId="46" xfId="0" applyFont="1" applyFill="1" applyBorder="1" applyAlignment="1">
      <alignment vertical="top" wrapText="1"/>
    </xf>
    <xf numFmtId="0" fontId="93" fillId="0" borderId="47" xfId="0" applyFont="1" applyBorder="1" applyAlignment="1">
      <alignment vertical="top" wrapText="1"/>
    </xf>
    <xf numFmtId="0" fontId="93" fillId="0" borderId="47" xfId="0" applyFont="1" applyBorder="1" applyAlignment="1">
      <alignment horizontal="left" vertical="top" wrapText="1"/>
    </xf>
    <xf numFmtId="183" fontId="93" fillId="0" borderId="47" xfId="42" applyNumberFormat="1" applyFont="1" applyBorder="1" applyAlignment="1">
      <alignment horizontal="center" vertical="top" wrapText="1"/>
    </xf>
    <xf numFmtId="0" fontId="98" fillId="0" borderId="46" xfId="0" applyFont="1" applyBorder="1" applyAlignment="1">
      <alignment vertical="top" wrapText="1"/>
    </xf>
    <xf numFmtId="0" fontId="93" fillId="0" borderId="47" xfId="0" applyFont="1" applyBorder="1" applyAlignment="1">
      <alignment horizontal="center" vertical="top" wrapText="1"/>
    </xf>
    <xf numFmtId="0" fontId="93" fillId="0" borderId="66" xfId="0" applyFont="1" applyBorder="1" applyAlignment="1">
      <alignment horizontal="center" vertical="center" wrapText="1"/>
    </xf>
    <xf numFmtId="183" fontId="90" fillId="33" borderId="55" xfId="0" applyNumberFormat="1" applyFont="1" applyFill="1" applyBorder="1" applyAlignment="1">
      <alignment vertical="top" wrapText="1"/>
    </xf>
    <xf numFmtId="0" fontId="98" fillId="0" borderId="67" xfId="0" applyFont="1" applyBorder="1" applyAlignment="1">
      <alignment vertical="top" wrapText="1"/>
    </xf>
    <xf numFmtId="0" fontId="98" fillId="0" borderId="62" xfId="0" applyFont="1" applyBorder="1" applyAlignment="1">
      <alignment vertical="top" wrapText="1"/>
    </xf>
    <xf numFmtId="177" fontId="90" fillId="0" borderId="62" xfId="0" applyNumberFormat="1" applyFont="1" applyBorder="1" applyAlignment="1">
      <alignment vertical="top" wrapText="1"/>
    </xf>
    <xf numFmtId="0" fontId="98" fillId="35" borderId="68" xfId="0" applyFont="1" applyFill="1" applyBorder="1" applyAlignment="1">
      <alignment vertical="top" wrapText="1"/>
    </xf>
    <xf numFmtId="0" fontId="98" fillId="35" borderId="69" xfId="0" applyFont="1" applyFill="1" applyBorder="1" applyAlignment="1">
      <alignment vertical="top" wrapText="1"/>
    </xf>
    <xf numFmtId="0" fontId="84" fillId="0" borderId="46" xfId="0" applyFont="1" applyBorder="1" applyAlignment="1">
      <alignment horizontal="left" vertical="top" wrapText="1" indent="5"/>
    </xf>
    <xf numFmtId="183" fontId="84" fillId="33" borderId="48" xfId="0" applyNumberFormat="1" applyFont="1" applyFill="1" applyBorder="1" applyAlignment="1">
      <alignment vertical="top" wrapText="1"/>
    </xf>
    <xf numFmtId="183" fontId="90" fillId="33" borderId="53" xfId="0" applyNumberFormat="1" applyFont="1" applyFill="1" applyBorder="1" applyAlignment="1">
      <alignment vertical="top" wrapText="1"/>
    </xf>
    <xf numFmtId="183" fontId="85" fillId="0" borderId="46" xfId="42" applyNumberFormat="1" applyFont="1" applyBorder="1" applyAlignment="1">
      <alignment vertical="top" wrapText="1"/>
    </xf>
    <xf numFmtId="0" fontId="85" fillId="0" borderId="61" xfId="0" applyFont="1" applyBorder="1" applyAlignment="1">
      <alignment vertical="top" wrapText="1"/>
    </xf>
    <xf numFmtId="183" fontId="90" fillId="33" borderId="48" xfId="0" applyNumberFormat="1" applyFont="1" applyFill="1" applyBorder="1" applyAlignment="1">
      <alignment vertical="top" wrapText="1"/>
    </xf>
    <xf numFmtId="183" fontId="95" fillId="0" borderId="0" xfId="42" applyNumberFormat="1" applyFont="1" applyBorder="1" applyAlignment="1">
      <alignment/>
    </xf>
    <xf numFmtId="0" fontId="8" fillId="0" borderId="48" xfId="0" applyFont="1" applyFill="1" applyBorder="1" applyAlignment="1">
      <alignment vertical="top" wrapText="1"/>
    </xf>
    <xf numFmtId="183" fontId="8" fillId="0" borderId="48" xfId="42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83" fontId="8" fillId="0" borderId="46" xfId="42" applyNumberFormat="1" applyFont="1" applyFill="1" applyBorder="1" applyAlignment="1">
      <alignment/>
    </xf>
    <xf numFmtId="0" fontId="8" fillId="0" borderId="46" xfId="0" applyFont="1" applyFill="1" applyBorder="1" applyAlignment="1">
      <alignment vertical="top" wrapText="1"/>
    </xf>
    <xf numFmtId="183" fontId="8" fillId="0" borderId="46" xfId="42" applyNumberFormat="1" applyFont="1" applyFill="1" applyBorder="1" applyAlignment="1">
      <alignment vertical="top" wrapText="1"/>
    </xf>
    <xf numFmtId="0" fontId="8" fillId="0" borderId="53" xfId="0" applyFont="1" applyFill="1" applyBorder="1" applyAlignment="1">
      <alignment vertical="top" wrapText="1"/>
    </xf>
    <xf numFmtId="183" fontId="8" fillId="0" borderId="53" xfId="42" applyNumberFormat="1" applyFont="1" applyFill="1" applyBorder="1" applyAlignment="1">
      <alignment vertical="top" wrapText="1"/>
    </xf>
    <xf numFmtId="0" fontId="9" fillId="0" borderId="49" xfId="0" applyFont="1" applyFill="1" applyBorder="1" applyAlignment="1">
      <alignment horizontal="right" vertical="top" wrapText="1"/>
    </xf>
    <xf numFmtId="0" fontId="8" fillId="0" borderId="49" xfId="0" applyFont="1" applyFill="1" applyBorder="1" applyAlignment="1">
      <alignment vertical="top" wrapText="1"/>
    </xf>
    <xf numFmtId="183" fontId="9" fillId="0" borderId="51" xfId="42" applyNumberFormat="1" applyFont="1" applyFill="1" applyBorder="1" applyAlignment="1">
      <alignment vertical="top" wrapText="1"/>
    </xf>
    <xf numFmtId="0" fontId="8" fillId="0" borderId="47" xfId="0" applyFont="1" applyFill="1" applyBorder="1" applyAlignment="1">
      <alignment vertical="top" wrapText="1"/>
    </xf>
    <xf numFmtId="0" fontId="8" fillId="0" borderId="49" xfId="0" applyFont="1" applyFill="1" applyBorder="1" applyAlignment="1">
      <alignment horizontal="center" vertical="center" wrapText="1"/>
    </xf>
    <xf numFmtId="183" fontId="8" fillId="0" borderId="47" xfId="42" applyNumberFormat="1" applyFont="1" applyFill="1" applyBorder="1" applyAlignment="1">
      <alignment vertical="top" wrapText="1"/>
    </xf>
    <xf numFmtId="183" fontId="8" fillId="0" borderId="64" xfId="42" applyNumberFormat="1" applyFont="1" applyFill="1" applyBorder="1" applyAlignment="1">
      <alignment vertical="top" wrapText="1"/>
    </xf>
    <xf numFmtId="183" fontId="8" fillId="0" borderId="0" xfId="42" applyNumberFormat="1" applyFont="1" applyFill="1" applyBorder="1" applyAlignment="1">
      <alignment vertical="top" wrapText="1"/>
    </xf>
    <xf numFmtId="183" fontId="9" fillId="0" borderId="52" xfId="42" applyNumberFormat="1" applyFont="1" applyFill="1" applyBorder="1" applyAlignment="1">
      <alignment vertical="top" wrapText="1"/>
    </xf>
    <xf numFmtId="0" fontId="9" fillId="0" borderId="49" xfId="0" applyFont="1" applyFill="1" applyBorder="1" applyAlignment="1">
      <alignment vertical="center" wrapText="1"/>
    </xf>
    <xf numFmtId="183" fontId="8" fillId="0" borderId="62" xfId="42" applyNumberFormat="1" applyFont="1" applyFill="1" applyBorder="1" applyAlignment="1">
      <alignment/>
    </xf>
    <xf numFmtId="0" fontId="8" fillId="0" borderId="7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9" fillId="33" borderId="71" xfId="0" applyFont="1" applyFill="1" applyBorder="1" applyAlignment="1">
      <alignment horizontal="right" vertical="top"/>
    </xf>
    <xf numFmtId="0" fontId="100" fillId="33" borderId="71" xfId="0" applyFont="1" applyFill="1" applyBorder="1" applyAlignment="1">
      <alignment horizontal="right" vertical="top"/>
    </xf>
    <xf numFmtId="183" fontId="99" fillId="33" borderId="71" xfId="42" applyNumberFormat="1" applyFont="1" applyFill="1" applyBorder="1" applyAlignment="1">
      <alignment horizontal="right" vertical="top"/>
    </xf>
    <xf numFmtId="183" fontId="100" fillId="33" borderId="71" xfId="42" applyNumberFormat="1" applyFont="1" applyFill="1" applyBorder="1" applyAlignment="1">
      <alignment horizontal="right" vertical="top"/>
    </xf>
    <xf numFmtId="183" fontId="0" fillId="33" borderId="0" xfId="42" applyNumberFormat="1" applyFont="1" applyFill="1" applyAlignment="1">
      <alignment/>
    </xf>
    <xf numFmtId="0" fontId="99" fillId="33" borderId="71" xfId="60" applyFont="1" applyFill="1" applyBorder="1" applyAlignment="1">
      <alignment/>
      <protection/>
    </xf>
    <xf numFmtId="0" fontId="99" fillId="33" borderId="71" xfId="0" applyFont="1" applyFill="1" applyBorder="1" applyAlignment="1">
      <alignment/>
    </xf>
    <xf numFmtId="183" fontId="99" fillId="33" borderId="71" xfId="42" applyNumberFormat="1" applyFont="1" applyFill="1" applyBorder="1" applyAlignment="1">
      <alignment/>
    </xf>
    <xf numFmtId="0" fontId="100" fillId="33" borderId="71" xfId="60" applyFont="1" applyFill="1" applyBorder="1" applyAlignment="1" quotePrefix="1">
      <alignment horizontal="center"/>
      <protection/>
    </xf>
    <xf numFmtId="0" fontId="100" fillId="33" borderId="71" xfId="60" applyFont="1" applyFill="1" applyBorder="1" applyAlignment="1">
      <alignment/>
      <protection/>
    </xf>
    <xf numFmtId="177" fontId="99" fillId="33" borderId="71" xfId="0" applyNumberFormat="1" applyFont="1" applyFill="1" applyBorder="1" applyAlignment="1">
      <alignment/>
    </xf>
    <xf numFmtId="0" fontId="99" fillId="33" borderId="71" xfId="60" applyFont="1" applyFill="1" applyBorder="1" applyAlignment="1">
      <alignment horizontal="center"/>
      <protection/>
    </xf>
    <xf numFmtId="183" fontId="100" fillId="33" borderId="71" xfId="60" applyNumberFormat="1" applyFont="1" applyFill="1" applyBorder="1" applyAlignment="1">
      <alignment horizontal="right" vertical="top"/>
      <protection/>
    </xf>
    <xf numFmtId="183" fontId="99" fillId="33" borderId="71" xfId="0" applyNumberFormat="1" applyFont="1" applyFill="1" applyBorder="1" applyAlignment="1">
      <alignment/>
    </xf>
    <xf numFmtId="0" fontId="100" fillId="33" borderId="71" xfId="60" applyFont="1" applyFill="1" applyBorder="1" applyAlignment="1">
      <alignment horizontal="center"/>
      <protection/>
    </xf>
    <xf numFmtId="183" fontId="100" fillId="33" borderId="71" xfId="0" applyNumberFormat="1" applyFont="1" applyFill="1" applyBorder="1" applyAlignment="1">
      <alignment/>
    </xf>
    <xf numFmtId="183" fontId="100" fillId="33" borderId="71" xfId="60" applyNumberFormat="1" applyFont="1" applyFill="1" applyBorder="1" applyAlignment="1">
      <alignment horizontal="right"/>
      <protection/>
    </xf>
    <xf numFmtId="183" fontId="99" fillId="33" borderId="71" xfId="60" applyNumberFormat="1" applyFont="1" applyFill="1" applyBorder="1" applyAlignment="1">
      <alignment horizontal="right" vertical="top"/>
      <protection/>
    </xf>
    <xf numFmtId="0" fontId="99" fillId="33" borderId="71" xfId="0" applyFont="1" applyFill="1" applyBorder="1" applyAlignment="1">
      <alignment horizontal="right"/>
    </xf>
    <xf numFmtId="0" fontId="100" fillId="33" borderId="71" xfId="0" applyFont="1" applyFill="1" applyBorder="1" applyAlignment="1">
      <alignment horizontal="right"/>
    </xf>
    <xf numFmtId="0" fontId="100" fillId="33" borderId="71" xfId="0" applyFont="1" applyFill="1" applyBorder="1" applyAlignment="1">
      <alignment/>
    </xf>
    <xf numFmtId="183" fontId="100" fillId="33" borderId="71" xfId="42" applyNumberFormat="1" applyFont="1" applyFill="1" applyBorder="1" applyAlignment="1">
      <alignment/>
    </xf>
    <xf numFmtId="177" fontId="100" fillId="33" borderId="71" xfId="42" applyFont="1" applyFill="1" applyBorder="1" applyAlignment="1">
      <alignment/>
    </xf>
    <xf numFmtId="186" fontId="100" fillId="33" borderId="71" xfId="45" applyNumberFormat="1" applyFont="1" applyFill="1" applyBorder="1" applyAlignment="1">
      <alignment/>
    </xf>
    <xf numFmtId="186" fontId="99" fillId="33" borderId="71" xfId="45" applyNumberFormat="1" applyFont="1" applyFill="1" applyBorder="1" applyAlignment="1">
      <alignment/>
    </xf>
    <xf numFmtId="186" fontId="100" fillId="33" borderId="71" xfId="45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100" fillId="33" borderId="71" xfId="0" applyFont="1" applyFill="1" applyBorder="1" applyAlignment="1">
      <alignment wrapText="1"/>
    </xf>
    <xf numFmtId="0" fontId="99" fillId="33" borderId="71" xfId="0" applyFont="1" applyFill="1" applyBorder="1" applyAlignment="1">
      <alignment wrapText="1"/>
    </xf>
    <xf numFmtId="0" fontId="100" fillId="33" borderId="71" xfId="0" applyFont="1" applyFill="1" applyBorder="1" applyAlignment="1">
      <alignment/>
    </xf>
    <xf numFmtId="0" fontId="100" fillId="33" borderId="71" xfId="0" applyFont="1" applyFill="1" applyBorder="1" applyAlignment="1">
      <alignment vertical="top" wrapText="1"/>
    </xf>
    <xf numFmtId="183" fontId="100" fillId="33" borderId="71" xfId="42" applyNumberFormat="1" applyFont="1" applyFill="1" applyBorder="1" applyAlignment="1">
      <alignment horizontal="right"/>
    </xf>
    <xf numFmtId="183" fontId="99" fillId="33" borderId="71" xfId="42" applyNumberFormat="1" applyFont="1" applyFill="1" applyBorder="1" applyAlignment="1">
      <alignment horizontal="right"/>
    </xf>
    <xf numFmtId="183" fontId="100" fillId="33" borderId="71" xfId="42" applyNumberFormat="1" applyFont="1" applyFill="1" applyBorder="1" applyAlignment="1">
      <alignment vertical="top"/>
    </xf>
    <xf numFmtId="183" fontId="99" fillId="33" borderId="71" xfId="42" applyNumberFormat="1" applyFont="1" applyFill="1" applyBorder="1" applyAlignment="1">
      <alignment vertical="top"/>
    </xf>
    <xf numFmtId="183" fontId="99" fillId="33" borderId="71" xfId="60" applyNumberFormat="1" applyFont="1" applyFill="1" applyBorder="1" applyAlignment="1">
      <alignment vertical="top"/>
      <protection/>
    </xf>
    <xf numFmtId="0" fontId="100" fillId="33" borderId="71" xfId="60" applyFont="1" applyFill="1" applyBorder="1" applyAlignment="1" quotePrefix="1">
      <alignment wrapText="1"/>
      <protection/>
    </xf>
    <xf numFmtId="0" fontId="100" fillId="33" borderId="71" xfId="60" applyFont="1" applyFill="1" applyBorder="1" applyAlignment="1">
      <alignment wrapText="1"/>
      <protection/>
    </xf>
    <xf numFmtId="0" fontId="99" fillId="33" borderId="71" xfId="60" applyFont="1" applyFill="1" applyBorder="1" applyAlignment="1">
      <alignment wrapText="1"/>
      <protection/>
    </xf>
    <xf numFmtId="0" fontId="99" fillId="33" borderId="71" xfId="0" applyFont="1" applyFill="1" applyBorder="1" applyAlignment="1">
      <alignment horizontal="justify" vertical="top"/>
    </xf>
    <xf numFmtId="186" fontId="100" fillId="33" borderId="71" xfId="45" applyNumberFormat="1" applyFont="1" applyFill="1" applyBorder="1" applyAlignment="1">
      <alignment horizontal="center"/>
    </xf>
    <xf numFmtId="186" fontId="99" fillId="33" borderId="71" xfId="45" applyNumberFormat="1" applyFont="1" applyFill="1" applyBorder="1" applyAlignment="1">
      <alignment horizontal="right"/>
    </xf>
    <xf numFmtId="186" fontId="100" fillId="33" borderId="71" xfId="45" applyNumberFormat="1" applyFont="1" applyFill="1" applyBorder="1" applyAlignment="1">
      <alignment horizontal="right"/>
    </xf>
    <xf numFmtId="186" fontId="99" fillId="33" borderId="71" xfId="45" applyNumberFormat="1" applyFont="1" applyFill="1" applyBorder="1" applyAlignment="1">
      <alignment horizontal="right" vertical="top"/>
    </xf>
    <xf numFmtId="0" fontId="100" fillId="33" borderId="71" xfId="59" applyFont="1" applyFill="1" applyBorder="1" applyAlignment="1">
      <alignment horizontal="right" vertical="center"/>
      <protection/>
    </xf>
    <xf numFmtId="0" fontId="100" fillId="33" borderId="71" xfId="59" applyFont="1" applyFill="1" applyBorder="1" applyAlignment="1">
      <alignment vertical="center"/>
      <protection/>
    </xf>
    <xf numFmtId="0" fontId="99" fillId="33" borderId="71" xfId="59" applyFont="1" applyFill="1" applyBorder="1" applyAlignment="1">
      <alignment vertical="center"/>
      <protection/>
    </xf>
    <xf numFmtId="183" fontId="100" fillId="33" borderId="71" xfId="42" applyNumberFormat="1" applyFont="1" applyFill="1" applyBorder="1" applyAlignment="1">
      <alignment horizontal="center" wrapText="1"/>
    </xf>
    <xf numFmtId="183" fontId="100" fillId="36" borderId="71" xfId="42" applyNumberFormat="1" applyFont="1" applyFill="1" applyBorder="1" applyAlignment="1">
      <alignment horizontal="right"/>
    </xf>
    <xf numFmtId="183" fontId="100" fillId="36" borderId="71" xfId="44" applyNumberFormat="1" applyFont="1" applyFill="1" applyBorder="1" applyAlignment="1">
      <alignment horizontal="right"/>
    </xf>
    <xf numFmtId="0" fontId="100" fillId="33" borderId="71" xfId="60" applyFont="1" applyFill="1" applyBorder="1" applyAlignment="1">
      <alignment horizontal="right" vertical="top"/>
      <protection/>
    </xf>
    <xf numFmtId="0" fontId="99" fillId="33" borderId="71" xfId="60" applyFont="1" applyFill="1" applyBorder="1" applyAlignment="1">
      <alignment horizontal="right" vertical="top"/>
      <protection/>
    </xf>
    <xf numFmtId="0" fontId="99" fillId="33" borderId="71" xfId="60" applyFont="1" applyFill="1" applyBorder="1" applyAlignment="1">
      <alignment horizontal="right"/>
      <protection/>
    </xf>
    <xf numFmtId="0" fontId="100" fillId="33" borderId="71" xfId="60" applyFont="1" applyFill="1" applyBorder="1" applyAlignment="1">
      <alignment horizontal="right"/>
      <protection/>
    </xf>
    <xf numFmtId="0" fontId="0" fillId="33" borderId="0" xfId="0" applyFont="1" applyFill="1" applyAlignment="1">
      <alignment horizontal="right"/>
    </xf>
    <xf numFmtId="0" fontId="100" fillId="33" borderId="0" xfId="0" applyFont="1" applyFill="1" applyAlignment="1">
      <alignment horizontal="right"/>
    </xf>
    <xf numFmtId="0" fontId="100" fillId="33" borderId="71" xfId="0" applyFont="1" applyFill="1" applyBorder="1" applyAlignment="1">
      <alignment horizontal="center" wrapText="1"/>
    </xf>
    <xf numFmtId="186" fontId="100" fillId="36" borderId="71" xfId="45" applyNumberFormat="1" applyFont="1" applyFill="1" applyBorder="1" applyAlignment="1">
      <alignment/>
    </xf>
    <xf numFmtId="183" fontId="100" fillId="36" borderId="71" xfId="42" applyNumberFormat="1" applyFont="1" applyFill="1" applyBorder="1" applyAlignment="1">
      <alignment horizontal="right" vertical="top"/>
    </xf>
    <xf numFmtId="186" fontId="100" fillId="36" borderId="71" xfId="45" applyNumberFormat="1" applyFont="1" applyFill="1" applyBorder="1" applyAlignment="1">
      <alignment horizontal="right" vertical="top"/>
    </xf>
    <xf numFmtId="183" fontId="100" fillId="36" borderId="71" xfId="42" applyNumberFormat="1" applyFont="1" applyFill="1" applyBorder="1" applyAlignment="1">
      <alignment/>
    </xf>
    <xf numFmtId="0" fontId="99" fillId="33" borderId="72" xfId="0" applyFont="1" applyFill="1" applyBorder="1" applyAlignment="1">
      <alignment/>
    </xf>
    <xf numFmtId="183" fontId="100" fillId="36" borderId="71" xfId="42" applyNumberFormat="1" applyFont="1" applyFill="1" applyBorder="1" applyAlignment="1">
      <alignment horizontal="center"/>
    </xf>
    <xf numFmtId="183" fontId="100" fillId="36" borderId="71" xfId="42" applyNumberFormat="1" applyFont="1" applyFill="1" applyBorder="1" applyAlignment="1">
      <alignment/>
    </xf>
    <xf numFmtId="0" fontId="99" fillId="33" borderId="73" xfId="0" applyFont="1" applyFill="1" applyBorder="1" applyAlignment="1">
      <alignment/>
    </xf>
    <xf numFmtId="0" fontId="99" fillId="0" borderId="73" xfId="0" applyFont="1" applyFill="1" applyBorder="1" applyAlignment="1">
      <alignment/>
    </xf>
    <xf numFmtId="0" fontId="100" fillId="0" borderId="74" xfId="0" applyFont="1" applyFill="1" applyBorder="1" applyAlignment="1">
      <alignment horizontal="center" wrapText="1"/>
    </xf>
    <xf numFmtId="0" fontId="99" fillId="0" borderId="74" xfId="0" applyFont="1" applyFill="1" applyBorder="1" applyAlignment="1">
      <alignment horizontal="left" wrapText="1"/>
    </xf>
    <xf numFmtId="0" fontId="0" fillId="33" borderId="73" xfId="0" applyFont="1" applyFill="1" applyBorder="1" applyAlignment="1">
      <alignment/>
    </xf>
    <xf numFmtId="0" fontId="0" fillId="33" borderId="74" xfId="0" applyFont="1" applyFill="1" applyBorder="1" applyAlignment="1">
      <alignment/>
    </xf>
    <xf numFmtId="0" fontId="0" fillId="33" borderId="74" xfId="0" applyFont="1" applyFill="1" applyBorder="1" applyAlignment="1">
      <alignment horizontal="right"/>
    </xf>
    <xf numFmtId="183" fontId="0" fillId="33" borderId="75" xfId="42" applyNumberFormat="1" applyFont="1" applyFill="1" applyBorder="1" applyAlignment="1">
      <alignment/>
    </xf>
    <xf numFmtId="0" fontId="0" fillId="33" borderId="76" xfId="0" applyFont="1" applyFill="1" applyBorder="1" applyAlignment="1">
      <alignment/>
    </xf>
    <xf numFmtId="183" fontId="100" fillId="33" borderId="77" xfId="42" applyNumberFormat="1" applyFont="1" applyFill="1" applyBorder="1" applyAlignment="1">
      <alignment/>
    </xf>
    <xf numFmtId="0" fontId="101" fillId="0" borderId="0" xfId="0" applyFont="1" applyAlignment="1">
      <alignment vertical="top" wrapText="1"/>
    </xf>
    <xf numFmtId="0" fontId="102" fillId="0" borderId="0" xfId="0" applyFont="1" applyAlignment="1">
      <alignment vertical="top" wrapText="1"/>
    </xf>
    <xf numFmtId="183" fontId="103" fillId="34" borderId="37" xfId="0" applyNumberFormat="1" applyFont="1" applyFill="1" applyBorder="1" applyAlignment="1">
      <alignment wrapText="1"/>
    </xf>
    <xf numFmtId="183" fontId="90" fillId="34" borderId="0" xfId="42" applyNumberFormat="1" applyFont="1" applyFill="1" applyAlignment="1">
      <alignment/>
    </xf>
    <xf numFmtId="183" fontId="90" fillId="34" borderId="0" xfId="0" applyNumberFormat="1" applyFont="1" applyFill="1" applyAlignment="1">
      <alignment/>
    </xf>
    <xf numFmtId="0" fontId="90" fillId="34" borderId="0" xfId="0" applyFont="1" applyFill="1" applyAlignment="1">
      <alignment/>
    </xf>
    <xf numFmtId="0" fontId="90" fillId="0" borderId="37" xfId="0" applyFont="1" applyBorder="1" applyAlignment="1">
      <alignment horizontal="right"/>
    </xf>
    <xf numFmtId="0" fontId="90" fillId="0" borderId="37" xfId="0" applyFont="1" applyBorder="1" applyAlignment="1">
      <alignment/>
    </xf>
    <xf numFmtId="183" fontId="90" fillId="0" borderId="36" xfId="42" applyNumberFormat="1" applyFont="1" applyBorder="1" applyAlignment="1">
      <alignment horizontal="center"/>
    </xf>
    <xf numFmtId="183" fontId="90" fillId="0" borderId="37" xfId="42" applyNumberFormat="1" applyFont="1" applyBorder="1" applyAlignment="1">
      <alignment/>
    </xf>
    <xf numFmtId="0" fontId="93" fillId="0" borderId="37" xfId="0" applyFont="1" applyBorder="1" applyAlignment="1">
      <alignment/>
    </xf>
    <xf numFmtId="183" fontId="93" fillId="0" borderId="37" xfId="42" applyNumberFormat="1" applyFont="1" applyBorder="1" applyAlignment="1">
      <alignment horizontal="center"/>
    </xf>
    <xf numFmtId="183" fontId="93" fillId="0" borderId="37" xfId="42" applyNumberFormat="1" applyFont="1" applyBorder="1" applyAlignment="1">
      <alignment horizontal="right"/>
    </xf>
    <xf numFmtId="0" fontId="90" fillId="0" borderId="0" xfId="0" applyFont="1" applyBorder="1" applyAlignment="1">
      <alignment horizontal="right"/>
    </xf>
    <xf numFmtId="0" fontId="93" fillId="0" borderId="0" xfId="0" applyFont="1" applyBorder="1" applyAlignment="1">
      <alignment/>
    </xf>
    <xf numFmtId="183" fontId="93" fillId="0" borderId="0" xfId="42" applyNumberFormat="1" applyFont="1" applyBorder="1" applyAlignment="1">
      <alignment horizontal="center"/>
    </xf>
    <xf numFmtId="183" fontId="90" fillId="0" borderId="48" xfId="42" applyNumberFormat="1" applyFont="1" applyFill="1" applyBorder="1" applyAlignment="1">
      <alignment horizontal="center" vertical="top" wrapText="1"/>
    </xf>
    <xf numFmtId="183" fontId="90" fillId="0" borderId="37" xfId="42" applyNumberFormat="1" applyFont="1" applyBorder="1" applyAlignment="1">
      <alignment horizontal="center"/>
    </xf>
    <xf numFmtId="183" fontId="93" fillId="0" borderId="0" xfId="42" applyNumberFormat="1" applyFont="1" applyBorder="1" applyAlignment="1">
      <alignment horizontal="right"/>
    </xf>
    <xf numFmtId="183" fontId="104" fillId="34" borderId="37" xfId="0" applyNumberFormat="1" applyFont="1" applyFill="1" applyBorder="1" applyAlignment="1">
      <alignment vertical="top" wrapText="1"/>
    </xf>
    <xf numFmtId="183" fontId="104" fillId="34" borderId="37" xfId="42" applyNumberFormat="1" applyFont="1" applyFill="1" applyBorder="1" applyAlignment="1">
      <alignment vertical="top" wrapText="1"/>
    </xf>
    <xf numFmtId="0" fontId="98" fillId="0" borderId="37" xfId="0" applyFont="1" applyBorder="1" applyAlignment="1">
      <alignment horizontal="left" indent="1"/>
    </xf>
    <xf numFmtId="183" fontId="98" fillId="0" borderId="37" xfId="42" applyNumberFormat="1" applyFont="1" applyBorder="1" applyAlignment="1">
      <alignment horizontal="center"/>
    </xf>
    <xf numFmtId="0" fontId="105" fillId="0" borderId="37" xfId="0" applyFont="1" applyBorder="1" applyAlignment="1">
      <alignment horizontal="center"/>
    </xf>
    <xf numFmtId="183" fontId="105" fillId="0" borderId="37" xfId="42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183" fontId="105" fillId="0" borderId="0" xfId="42" applyNumberFormat="1" applyFont="1" applyBorder="1" applyAlignment="1">
      <alignment horizontal="center"/>
    </xf>
    <xf numFmtId="183" fontId="105" fillId="0" borderId="0" xfId="0" applyNumberFormat="1" applyFont="1" applyBorder="1" applyAlignment="1">
      <alignment horizontal="right"/>
    </xf>
    <xf numFmtId="183" fontId="105" fillId="0" borderId="0" xfId="42" applyNumberFormat="1" applyFont="1" applyBorder="1" applyAlignment="1">
      <alignment horizontal="right"/>
    </xf>
    <xf numFmtId="0" fontId="103" fillId="34" borderId="37" xfId="0" applyFont="1" applyFill="1" applyBorder="1" applyAlignment="1">
      <alignment vertical="top" wrapText="1"/>
    </xf>
    <xf numFmtId="0" fontId="104" fillId="34" borderId="37" xfId="0" applyFont="1" applyFill="1" applyBorder="1" applyAlignment="1">
      <alignment vertical="top" wrapText="1"/>
    </xf>
    <xf numFmtId="183" fontId="103" fillId="34" borderId="37" xfId="42" applyNumberFormat="1" applyFont="1" applyFill="1" applyBorder="1" applyAlignment="1">
      <alignment vertical="top" wrapText="1"/>
    </xf>
    <xf numFmtId="183" fontId="90" fillId="33" borderId="0" xfId="0" applyNumberFormat="1" applyFont="1" applyFill="1" applyAlignment="1">
      <alignment/>
    </xf>
    <xf numFmtId="0" fontId="90" fillId="33" borderId="0" xfId="0" applyFont="1" applyFill="1" applyAlignment="1">
      <alignment/>
    </xf>
    <xf numFmtId="183" fontId="90" fillId="0" borderId="36" xfId="42" applyNumberFormat="1" applyFont="1" applyBorder="1" applyAlignment="1">
      <alignment/>
    </xf>
    <xf numFmtId="183" fontId="90" fillId="0" borderId="37" xfId="0" applyNumberFormat="1" applyFont="1" applyBorder="1" applyAlignment="1">
      <alignment/>
    </xf>
    <xf numFmtId="0" fontId="104" fillId="34" borderId="37" xfId="0" applyFont="1" applyFill="1" applyBorder="1" applyAlignment="1">
      <alignment/>
    </xf>
    <xf numFmtId="183" fontId="90" fillId="33" borderId="0" xfId="42" applyNumberFormat="1" applyFont="1" applyFill="1" applyAlignment="1">
      <alignment/>
    </xf>
    <xf numFmtId="0" fontId="90" fillId="0" borderId="37" xfId="0" applyFont="1" applyBorder="1" applyAlignment="1">
      <alignment wrapText="1"/>
    </xf>
    <xf numFmtId="183" fontId="93" fillId="0" borderId="37" xfId="42" applyNumberFormat="1" applyFont="1" applyBorder="1" applyAlignment="1">
      <alignment/>
    </xf>
    <xf numFmtId="183" fontId="93" fillId="0" borderId="0" xfId="42" applyNumberFormat="1" applyFont="1" applyBorder="1" applyAlignment="1">
      <alignment/>
    </xf>
    <xf numFmtId="0" fontId="104" fillId="33" borderId="37" xfId="0" applyFont="1" applyFill="1" applyBorder="1" applyAlignment="1">
      <alignment vertical="top" wrapText="1"/>
    </xf>
    <xf numFmtId="0" fontId="103" fillId="0" borderId="37" xfId="0" applyFont="1" applyBorder="1" applyAlignment="1">
      <alignment vertical="top" wrapText="1"/>
    </xf>
    <xf numFmtId="0" fontId="90" fillId="0" borderId="37" xfId="0" applyFont="1" applyBorder="1" applyAlignment="1">
      <alignment horizontal="left"/>
    </xf>
    <xf numFmtId="183" fontId="103" fillId="0" borderId="37" xfId="42" applyNumberFormat="1" applyFont="1" applyBorder="1" applyAlignment="1">
      <alignment wrapText="1"/>
    </xf>
    <xf numFmtId="183" fontId="90" fillId="0" borderId="37" xfId="42" applyNumberFormat="1" applyFont="1" applyBorder="1" applyAlignment="1">
      <alignment wrapText="1"/>
    </xf>
    <xf numFmtId="0" fontId="93" fillId="0" borderId="37" xfId="0" applyFont="1" applyBorder="1" applyAlignment="1">
      <alignment horizontal="right"/>
    </xf>
    <xf numFmtId="0" fontId="93" fillId="0" borderId="0" xfId="0" applyFont="1" applyBorder="1" applyAlignment="1">
      <alignment horizontal="right"/>
    </xf>
    <xf numFmtId="183" fontId="90" fillId="34" borderId="37" xfId="42" applyNumberFormat="1" applyFont="1" applyFill="1" applyBorder="1" applyAlignment="1">
      <alignment wrapText="1"/>
    </xf>
    <xf numFmtId="183" fontId="90" fillId="0" borderId="37" xfId="42" applyNumberFormat="1" applyFont="1" applyBorder="1" applyAlignment="1">
      <alignment horizontal="right"/>
    </xf>
    <xf numFmtId="0" fontId="93" fillId="33" borderId="37" xfId="0" applyFont="1" applyFill="1" applyBorder="1" applyAlignment="1">
      <alignment horizontal="right"/>
    </xf>
    <xf numFmtId="0" fontId="93" fillId="33" borderId="37" xfId="0" applyFont="1" applyFill="1" applyBorder="1" applyAlignment="1">
      <alignment/>
    </xf>
    <xf numFmtId="183" fontId="93" fillId="33" borderId="37" xfId="42" applyNumberFormat="1" applyFont="1" applyFill="1" applyBorder="1" applyAlignment="1">
      <alignment horizontal="center"/>
    </xf>
    <xf numFmtId="0" fontId="93" fillId="33" borderId="0" xfId="0" applyFont="1" applyFill="1" applyBorder="1" applyAlignment="1">
      <alignment horizontal="right"/>
    </xf>
    <xf numFmtId="0" fontId="93" fillId="33" borderId="0" xfId="0" applyFont="1" applyFill="1" applyBorder="1" applyAlignment="1">
      <alignment/>
    </xf>
    <xf numFmtId="183" fontId="93" fillId="33" borderId="0" xfId="42" applyNumberFormat="1" applyFont="1" applyFill="1" applyBorder="1" applyAlignment="1">
      <alignment horizontal="center"/>
    </xf>
    <xf numFmtId="183" fontId="93" fillId="33" borderId="0" xfId="0" applyNumberFormat="1" applyFont="1" applyFill="1" applyBorder="1" applyAlignment="1">
      <alignment/>
    </xf>
    <xf numFmtId="183" fontId="90" fillId="34" borderId="37" xfId="42" applyNumberFormat="1" applyFont="1" applyFill="1" applyBorder="1" applyAlignment="1">
      <alignment vertical="top" wrapText="1"/>
    </xf>
    <xf numFmtId="183" fontId="90" fillId="34" borderId="37" xfId="42" applyNumberFormat="1" applyFont="1" applyFill="1" applyBorder="1" applyAlignment="1">
      <alignment/>
    </xf>
    <xf numFmtId="0" fontId="90" fillId="0" borderId="37" xfId="0" applyFont="1" applyFill="1" applyBorder="1" applyAlignment="1">
      <alignment wrapText="1"/>
    </xf>
    <xf numFmtId="183" fontId="104" fillId="34" borderId="37" xfId="42" applyNumberFormat="1" applyFont="1" applyFill="1" applyBorder="1" applyAlignment="1">
      <alignment wrapText="1"/>
    </xf>
    <xf numFmtId="0" fontId="90" fillId="33" borderId="37" xfId="0" applyFont="1" applyFill="1" applyBorder="1" applyAlignment="1">
      <alignment horizontal="right"/>
    </xf>
    <xf numFmtId="0" fontId="90" fillId="33" borderId="37" xfId="0" applyFont="1" applyFill="1" applyBorder="1" applyAlignment="1">
      <alignment/>
    </xf>
    <xf numFmtId="183" fontId="90" fillId="33" borderId="78" xfId="42" applyNumberFormat="1" applyFont="1" applyFill="1" applyBorder="1" applyAlignment="1">
      <alignment horizontal="center"/>
    </xf>
    <xf numFmtId="183" fontId="93" fillId="33" borderId="78" xfId="42" applyNumberFormat="1" applyFont="1" applyFill="1" applyBorder="1" applyAlignment="1">
      <alignment horizontal="center"/>
    </xf>
    <xf numFmtId="183" fontId="104" fillId="0" borderId="0" xfId="0" applyNumberFormat="1" applyFont="1" applyBorder="1" applyAlignment="1">
      <alignment vertical="top" wrapText="1"/>
    </xf>
    <xf numFmtId="183" fontId="104" fillId="0" borderId="37" xfId="42" applyNumberFormat="1" applyFont="1" applyBorder="1" applyAlignment="1">
      <alignment vertical="top" wrapText="1"/>
    </xf>
    <xf numFmtId="183" fontId="90" fillId="0" borderId="78" xfId="42" applyNumberFormat="1" applyFont="1" applyBorder="1" applyAlignment="1">
      <alignment horizontal="center"/>
    </xf>
    <xf numFmtId="183" fontId="93" fillId="0" borderId="78" xfId="42" applyNumberFormat="1" applyFont="1" applyBorder="1" applyAlignment="1">
      <alignment horizontal="center"/>
    </xf>
    <xf numFmtId="0" fontId="90" fillId="0" borderId="0" xfId="0" applyFont="1" applyAlignment="1">
      <alignment horizontal="right"/>
    </xf>
    <xf numFmtId="0" fontId="92" fillId="0" borderId="0" xfId="0" applyFont="1" applyAlignment="1">
      <alignment/>
    </xf>
    <xf numFmtId="183" fontId="92" fillId="0" borderId="0" xfId="42" applyNumberFormat="1" applyFont="1" applyAlignment="1">
      <alignment horizontal="center"/>
    </xf>
    <xf numFmtId="183" fontId="90" fillId="0" borderId="0" xfId="42" applyNumberFormat="1" applyFont="1" applyAlignment="1">
      <alignment horizontal="center"/>
    </xf>
    <xf numFmtId="0" fontId="104" fillId="0" borderId="37" xfId="0" applyFont="1" applyBorder="1" applyAlignment="1">
      <alignment vertical="top" wrapText="1"/>
    </xf>
    <xf numFmtId="0" fontId="90" fillId="33" borderId="37" xfId="60" applyFont="1" applyFill="1" applyBorder="1" applyAlignment="1">
      <alignment horizontal="right" vertical="top"/>
      <protection/>
    </xf>
    <xf numFmtId="0" fontId="90" fillId="33" borderId="37" xfId="60" applyFont="1" applyFill="1" applyBorder="1" applyAlignment="1">
      <alignment/>
      <protection/>
    </xf>
    <xf numFmtId="0" fontId="90" fillId="0" borderId="0" xfId="42" applyNumberFormat="1" applyFont="1" applyAlignment="1">
      <alignment/>
    </xf>
    <xf numFmtId="183" fontId="104" fillId="33" borderId="37" xfId="0" applyNumberFormat="1" applyFont="1" applyFill="1" applyBorder="1" applyAlignment="1">
      <alignment vertical="top" wrapText="1"/>
    </xf>
    <xf numFmtId="183" fontId="104" fillId="33" borderId="37" xfId="42" applyNumberFormat="1" applyFont="1" applyFill="1" applyBorder="1" applyAlignment="1">
      <alignment vertical="top" wrapText="1"/>
    </xf>
    <xf numFmtId="183" fontId="90" fillId="33" borderId="37" xfId="0" applyNumberFormat="1" applyFont="1" applyFill="1" applyBorder="1" applyAlignment="1">
      <alignment vertical="top"/>
    </xf>
    <xf numFmtId="183" fontId="90" fillId="33" borderId="0" xfId="0" applyNumberFormat="1" applyFont="1" applyFill="1" applyAlignment="1">
      <alignment vertical="top"/>
    </xf>
    <xf numFmtId="0" fontId="90" fillId="33" borderId="0" xfId="0" applyFont="1" applyFill="1" applyAlignment="1">
      <alignment vertical="top"/>
    </xf>
    <xf numFmtId="183" fontId="90" fillId="0" borderId="78" xfId="42" applyNumberFormat="1" applyFont="1" applyBorder="1" applyAlignment="1">
      <alignment/>
    </xf>
    <xf numFmtId="183" fontId="0" fillId="33" borderId="0" xfId="42" applyNumberFormat="1" applyFont="1" applyFill="1" applyAlignment="1">
      <alignment/>
    </xf>
    <xf numFmtId="183" fontId="0" fillId="33" borderId="0" xfId="42" applyNumberFormat="1" applyFont="1" applyFill="1" applyBorder="1" applyAlignment="1">
      <alignment/>
    </xf>
    <xf numFmtId="183" fontId="100" fillId="33" borderId="72" xfId="42" applyNumberFormat="1" applyFont="1" applyFill="1" applyBorder="1" applyAlignment="1">
      <alignment horizontal="right"/>
    </xf>
    <xf numFmtId="183" fontId="106" fillId="0" borderId="0" xfId="42" applyNumberFormat="1" applyFont="1" applyAlignment="1">
      <alignment vertical="top" wrapText="1"/>
    </xf>
    <xf numFmtId="183" fontId="0" fillId="33" borderId="0" xfId="42" applyNumberFormat="1" applyFont="1" applyFill="1" applyAlignment="1">
      <alignment vertical="top"/>
    </xf>
    <xf numFmtId="183" fontId="99" fillId="33" borderId="0" xfId="42" applyNumberFormat="1" applyFont="1" applyFill="1" applyBorder="1" applyAlignment="1">
      <alignment horizontal="right" vertical="top"/>
    </xf>
    <xf numFmtId="183" fontId="107" fillId="0" borderId="0" xfId="42" applyNumberFormat="1" applyFont="1" applyAlignment="1">
      <alignment vertical="top" wrapText="1"/>
    </xf>
    <xf numFmtId="183" fontId="107" fillId="0" borderId="0" xfId="42" applyNumberFormat="1" applyFont="1" applyAlignment="1">
      <alignment wrapText="1"/>
    </xf>
    <xf numFmtId="183" fontId="107" fillId="0" borderId="0" xfId="42" applyNumberFormat="1" applyFont="1" applyBorder="1" applyAlignment="1">
      <alignment vertical="top" wrapText="1"/>
    </xf>
    <xf numFmtId="183" fontId="102" fillId="0" borderId="37" xfId="42" applyNumberFormat="1" applyFont="1" applyBorder="1" applyAlignment="1">
      <alignment vertical="top" wrapText="1"/>
    </xf>
    <xf numFmtId="183" fontId="82" fillId="33" borderId="0" xfId="42" applyNumberFormat="1" applyFont="1" applyFill="1" applyAlignment="1">
      <alignment/>
    </xf>
    <xf numFmtId="0" fontId="106" fillId="0" borderId="0" xfId="0" applyFont="1" applyAlignment="1">
      <alignment vertical="top" wrapText="1"/>
    </xf>
    <xf numFmtId="0" fontId="84" fillId="0" borderId="79" xfId="0" applyFont="1" applyBorder="1" applyAlignment="1">
      <alignment/>
    </xf>
    <xf numFmtId="0" fontId="84" fillId="0" borderId="80" xfId="0" applyFont="1" applyBorder="1" applyAlignment="1">
      <alignment/>
    </xf>
    <xf numFmtId="0" fontId="84" fillId="0" borderId="81" xfId="0" applyFont="1" applyBorder="1" applyAlignment="1">
      <alignment/>
    </xf>
    <xf numFmtId="183" fontId="84" fillId="0" borderId="37" xfId="42" applyNumberFormat="1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82" xfId="0" applyFont="1" applyBorder="1" applyAlignment="1">
      <alignment/>
    </xf>
    <xf numFmtId="0" fontId="108" fillId="0" borderId="81" xfId="0" applyFont="1" applyBorder="1" applyAlignment="1">
      <alignment horizontal="justify" vertical="top"/>
    </xf>
    <xf numFmtId="0" fontId="108" fillId="0" borderId="37" xfId="42" applyNumberFormat="1" applyFont="1" applyBorder="1" applyAlignment="1">
      <alignment horizontal="center" vertical="top"/>
    </xf>
    <xf numFmtId="0" fontId="109" fillId="0" borderId="81" xfId="0" applyFont="1" applyBorder="1" applyAlignment="1">
      <alignment vertical="top"/>
    </xf>
    <xf numFmtId="183" fontId="109" fillId="0" borderId="37" xfId="42" applyNumberFormat="1" applyFont="1" applyBorder="1" applyAlignment="1">
      <alignment vertical="top"/>
    </xf>
    <xf numFmtId="183" fontId="109" fillId="0" borderId="37" xfId="42" applyNumberFormat="1" applyFont="1" applyBorder="1" applyAlignment="1">
      <alignment/>
    </xf>
    <xf numFmtId="0" fontId="110" fillId="0" borderId="81" xfId="0" applyFont="1" applyBorder="1" applyAlignment="1">
      <alignment horizontal="left" vertical="top"/>
    </xf>
    <xf numFmtId="183" fontId="110" fillId="0" borderId="37" xfId="42" applyNumberFormat="1" applyFont="1" applyBorder="1" applyAlignment="1">
      <alignment/>
    </xf>
    <xf numFmtId="0" fontId="109" fillId="0" borderId="81" xfId="0" applyFont="1" applyBorder="1" applyAlignment="1">
      <alignment horizontal="justify" vertical="top"/>
    </xf>
    <xf numFmtId="183" fontId="109" fillId="0" borderId="37" xfId="42" applyNumberFormat="1" applyFont="1" applyBorder="1" applyAlignment="1">
      <alignment horizontal="justify" vertical="top"/>
    </xf>
    <xf numFmtId="0" fontId="85" fillId="0" borderId="81" xfId="0" applyFont="1" applyBorder="1" applyAlignment="1">
      <alignment/>
    </xf>
    <xf numFmtId="183" fontId="85" fillId="0" borderId="37" xfId="42" applyNumberFormat="1" applyFont="1" applyBorder="1" applyAlignment="1">
      <alignment/>
    </xf>
    <xf numFmtId="0" fontId="110" fillId="0" borderId="81" xfId="0" applyFont="1" applyBorder="1" applyAlignment="1">
      <alignment horizontal="justify" vertical="top"/>
    </xf>
    <xf numFmtId="183" fontId="110" fillId="0" borderId="37" xfId="42" applyNumberFormat="1" applyFont="1" applyBorder="1" applyAlignment="1">
      <alignment horizontal="justify" vertical="top"/>
    </xf>
    <xf numFmtId="0" fontId="84" fillId="0" borderId="83" xfId="0" applyFont="1" applyBorder="1" applyAlignment="1">
      <alignment/>
    </xf>
    <xf numFmtId="0" fontId="110" fillId="0" borderId="37" xfId="0" applyFont="1" applyBorder="1" applyAlignment="1">
      <alignment horizontal="center" vertical="center" wrapText="1"/>
    </xf>
    <xf numFmtId="0" fontId="110" fillId="0" borderId="84" xfId="0" applyFont="1" applyBorder="1" applyAlignment="1">
      <alignment horizontal="center" vertical="center" wrapText="1"/>
    </xf>
    <xf numFmtId="0" fontId="110" fillId="0" borderId="81" xfId="0" applyFont="1" applyBorder="1" applyAlignment="1">
      <alignment vertical="top" wrapText="1"/>
    </xf>
    <xf numFmtId="3" fontId="109" fillId="0" borderId="37" xfId="0" applyNumberFormat="1" applyFont="1" applyBorder="1" applyAlignment="1">
      <alignment horizontal="right"/>
    </xf>
    <xf numFmtId="3" fontId="109" fillId="0" borderId="37" xfId="0" applyNumberFormat="1" applyFont="1" applyFill="1" applyBorder="1" applyAlignment="1">
      <alignment horizontal="right"/>
    </xf>
    <xf numFmtId="3" fontId="110" fillId="0" borderId="84" xfId="0" applyNumberFormat="1" applyFont="1" applyBorder="1" applyAlignment="1">
      <alignment horizontal="right" wrapText="1"/>
    </xf>
    <xf numFmtId="3" fontId="110" fillId="0" borderId="37" xfId="0" applyNumberFormat="1" applyFont="1" applyBorder="1" applyAlignment="1">
      <alignment horizontal="right"/>
    </xf>
    <xf numFmtId="3" fontId="110" fillId="0" borderId="84" xfId="0" applyNumberFormat="1" applyFont="1" applyBorder="1" applyAlignment="1">
      <alignment horizontal="right"/>
    </xf>
    <xf numFmtId="0" fontId="110" fillId="0" borderId="81" xfId="0" applyFont="1" applyBorder="1" applyAlignment="1">
      <alignment horizontal="justify" vertical="top" wrapText="1"/>
    </xf>
    <xf numFmtId="9" fontId="110" fillId="0" borderId="37" xfId="0" applyNumberFormat="1" applyFont="1" applyBorder="1" applyAlignment="1">
      <alignment horizontal="right" wrapText="1"/>
    </xf>
    <xf numFmtId="9" fontId="110" fillId="0" borderId="84" xfId="0" applyNumberFormat="1" applyFont="1" applyBorder="1" applyAlignment="1">
      <alignment horizontal="right" wrapText="1"/>
    </xf>
    <xf numFmtId="183" fontId="85" fillId="34" borderId="0" xfId="42" applyNumberFormat="1" applyFont="1" applyFill="1" applyAlignment="1">
      <alignment/>
    </xf>
    <xf numFmtId="0" fontId="84" fillId="0" borderId="37" xfId="0" applyFont="1" applyBorder="1" applyAlignment="1">
      <alignment/>
    </xf>
    <xf numFmtId="0" fontId="84" fillId="0" borderId="84" xfId="0" applyFont="1" applyBorder="1" applyAlignment="1">
      <alignment/>
    </xf>
    <xf numFmtId="0" fontId="110" fillId="0" borderId="85" xfId="0" applyFont="1" applyFill="1" applyBorder="1" applyAlignment="1">
      <alignment wrapText="1"/>
    </xf>
    <xf numFmtId="183" fontId="85" fillId="34" borderId="0" xfId="42" applyNumberFormat="1" applyFont="1" applyFill="1" applyBorder="1" applyAlignment="1">
      <alignment/>
    </xf>
    <xf numFmtId="3" fontId="85" fillId="0" borderId="0" xfId="0" applyNumberFormat="1" applyFont="1" applyBorder="1" applyAlignment="1">
      <alignment/>
    </xf>
    <xf numFmtId="0" fontId="85" fillId="0" borderId="26" xfId="0" applyFont="1" applyBorder="1" applyAlignment="1">
      <alignment/>
    </xf>
    <xf numFmtId="9" fontId="85" fillId="0" borderId="86" xfId="63" applyFont="1" applyBorder="1" applyAlignment="1">
      <alignment/>
    </xf>
    <xf numFmtId="0" fontId="85" fillId="0" borderId="14" xfId="0" applyFont="1" applyBorder="1" applyAlignment="1">
      <alignment/>
    </xf>
    <xf numFmtId="0" fontId="90" fillId="0" borderId="87" xfId="0" applyFont="1" applyBorder="1" applyAlignment="1">
      <alignment/>
    </xf>
    <xf numFmtId="183" fontId="97" fillId="0" borderId="37" xfId="42" applyNumberFormat="1" applyFont="1" applyBorder="1" applyAlignment="1">
      <alignment horizontal="center"/>
    </xf>
    <xf numFmtId="0" fontId="9" fillId="0" borderId="88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183" fontId="8" fillId="0" borderId="0" xfId="42" applyNumberFormat="1" applyFont="1" applyFill="1" applyAlignment="1">
      <alignment/>
    </xf>
    <xf numFmtId="0" fontId="9" fillId="0" borderId="4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vertical="center" wrapText="1"/>
    </xf>
    <xf numFmtId="183" fontId="9" fillId="0" borderId="46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48" xfId="0" applyFont="1" applyFill="1" applyBorder="1" applyAlignment="1">
      <alignment horizontal="left" vertical="top" wrapText="1"/>
    </xf>
    <xf numFmtId="183" fontId="9" fillId="0" borderId="48" xfId="42" applyNumberFormat="1" applyFont="1" applyFill="1" applyBorder="1" applyAlignment="1">
      <alignment horizontal="center" vertical="top" wrapText="1"/>
    </xf>
    <xf numFmtId="0" fontId="9" fillId="0" borderId="89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vertical="top" wrapText="1"/>
    </xf>
    <xf numFmtId="0" fontId="8" fillId="0" borderId="50" xfId="0" applyFont="1" applyFill="1" applyBorder="1" applyAlignment="1">
      <alignment/>
    </xf>
    <xf numFmtId="0" fontId="8" fillId="0" borderId="49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vertical="top" wrapText="1"/>
    </xf>
    <xf numFmtId="183" fontId="9" fillId="0" borderId="46" xfId="42" applyNumberFormat="1" applyFont="1" applyFill="1" applyBorder="1" applyAlignment="1">
      <alignment horizontal="center" vertical="top" wrapText="1"/>
    </xf>
    <xf numFmtId="183" fontId="8" fillId="0" borderId="48" xfId="42" applyNumberFormat="1" applyFont="1" applyFill="1" applyBorder="1" applyAlignment="1">
      <alignment horizontal="center" vertical="top" wrapText="1"/>
    </xf>
    <xf numFmtId="0" fontId="9" fillId="0" borderId="90" xfId="0" applyFont="1" applyFill="1" applyBorder="1" applyAlignment="1">
      <alignment vertical="top" wrapText="1"/>
    </xf>
    <xf numFmtId="0" fontId="9" fillId="0" borderId="4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91" xfId="0" applyFont="1" applyFill="1" applyBorder="1" applyAlignment="1">
      <alignment/>
    </xf>
    <xf numFmtId="0" fontId="8" fillId="0" borderId="92" xfId="0" applyFont="1" applyFill="1" applyBorder="1" applyAlignment="1">
      <alignment vertical="center" wrapText="1"/>
    </xf>
    <xf numFmtId="183" fontId="9" fillId="0" borderId="93" xfId="42" applyNumberFormat="1" applyFont="1" applyFill="1" applyBorder="1" applyAlignment="1">
      <alignment vertical="top" wrapText="1"/>
    </xf>
    <xf numFmtId="0" fontId="8" fillId="0" borderId="48" xfId="0" applyFont="1" applyFill="1" applyBorder="1" applyAlignment="1">
      <alignment/>
    </xf>
    <xf numFmtId="0" fontId="9" fillId="0" borderId="48" xfId="0" applyFont="1" applyFill="1" applyBorder="1" applyAlignment="1">
      <alignment horizontal="right" vertical="top" wrapText="1"/>
    </xf>
    <xf numFmtId="183" fontId="9" fillId="0" borderId="48" xfId="42" applyNumberFormat="1" applyFont="1" applyFill="1" applyBorder="1" applyAlignment="1">
      <alignment vertical="top" wrapText="1"/>
    </xf>
    <xf numFmtId="183" fontId="9" fillId="0" borderId="89" xfId="42" applyNumberFormat="1" applyFont="1" applyFill="1" applyBorder="1" applyAlignment="1">
      <alignment horizontal="left" vertical="top" wrapText="1"/>
    </xf>
    <xf numFmtId="183" fontId="8" fillId="0" borderId="89" xfId="42" applyNumberFormat="1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vertical="center" wrapText="1"/>
    </xf>
    <xf numFmtId="183" fontId="8" fillId="0" borderId="55" xfId="42" applyNumberFormat="1" applyFont="1" applyFill="1" applyBorder="1" applyAlignment="1">
      <alignment vertical="top" wrapText="1"/>
    </xf>
    <xf numFmtId="183" fontId="9" fillId="0" borderId="89" xfId="42" applyNumberFormat="1" applyFont="1" applyFill="1" applyBorder="1" applyAlignment="1">
      <alignment horizontal="center" vertical="top" wrapText="1"/>
    </xf>
    <xf numFmtId="0" fontId="8" fillId="0" borderId="94" xfId="0" applyFont="1" applyFill="1" applyBorder="1" applyAlignment="1">
      <alignment vertical="top" wrapText="1"/>
    </xf>
    <xf numFmtId="0" fontId="8" fillId="0" borderId="64" xfId="0" applyFont="1" applyFill="1" applyBorder="1" applyAlignment="1">
      <alignment vertical="top" wrapText="1"/>
    </xf>
    <xf numFmtId="0" fontId="9" fillId="0" borderId="53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vertical="top" wrapText="1"/>
    </xf>
    <xf numFmtId="0" fontId="9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/>
    </xf>
    <xf numFmtId="0" fontId="8" fillId="0" borderId="95" xfId="0" applyFont="1" applyFill="1" applyBorder="1" applyAlignment="1">
      <alignment vertical="top" wrapText="1"/>
    </xf>
    <xf numFmtId="0" fontId="8" fillId="0" borderId="95" xfId="0" applyFont="1" applyFill="1" applyBorder="1" applyAlignment="1">
      <alignment wrapText="1"/>
    </xf>
    <xf numFmtId="183" fontId="8" fillId="0" borderId="95" xfId="42" applyNumberFormat="1" applyFont="1" applyFill="1" applyBorder="1" applyAlignment="1">
      <alignment vertical="top" wrapText="1"/>
    </xf>
    <xf numFmtId="0" fontId="8" fillId="0" borderId="95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left" wrapText="1"/>
    </xf>
    <xf numFmtId="0" fontId="9" fillId="0" borderId="46" xfId="0" applyFont="1" applyFill="1" applyBorder="1" applyAlignment="1">
      <alignment wrapText="1"/>
    </xf>
    <xf numFmtId="183" fontId="9" fillId="0" borderId="46" xfId="42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83" fontId="8" fillId="0" borderId="95" xfId="42" applyNumberFormat="1" applyFont="1" applyFill="1" applyBorder="1" applyAlignment="1">
      <alignment horizontal="right" vertical="top" wrapText="1"/>
    </xf>
    <xf numFmtId="0" fontId="9" fillId="0" borderId="53" xfId="0" applyFont="1" applyFill="1" applyBorder="1" applyAlignment="1">
      <alignment horizontal="right" vertical="top" wrapText="1"/>
    </xf>
    <xf numFmtId="183" fontId="9" fillId="0" borderId="53" xfId="42" applyNumberFormat="1" applyFont="1" applyFill="1" applyBorder="1" applyAlignment="1">
      <alignment vertical="top" wrapText="1"/>
    </xf>
    <xf numFmtId="0" fontId="8" fillId="0" borderId="5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top" wrapText="1"/>
    </xf>
    <xf numFmtId="177" fontId="8" fillId="0" borderId="47" xfId="0" applyNumberFormat="1" applyFont="1" applyFill="1" applyBorder="1" applyAlignment="1">
      <alignment vertical="top" wrapText="1"/>
    </xf>
    <xf numFmtId="0" fontId="8" fillId="0" borderId="96" xfId="0" applyFont="1" applyFill="1" applyBorder="1" applyAlignment="1">
      <alignment horizontal="center" vertical="center" wrapText="1"/>
    </xf>
    <xf numFmtId="183" fontId="9" fillId="0" borderId="97" xfId="42" applyNumberFormat="1" applyFont="1" applyFill="1" applyBorder="1" applyAlignment="1">
      <alignment vertical="top" wrapText="1"/>
    </xf>
    <xf numFmtId="0" fontId="8" fillId="0" borderId="9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183" fontId="9" fillId="0" borderId="0" xfId="42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98" xfId="0" applyFont="1" applyFill="1" applyBorder="1" applyAlignment="1">
      <alignment horizontal="right" vertical="top" wrapText="1"/>
    </xf>
    <xf numFmtId="0" fontId="8" fillId="0" borderId="98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177" fontId="8" fillId="0" borderId="53" xfId="0" applyNumberFormat="1" applyFont="1" applyFill="1" applyBorder="1" applyAlignment="1">
      <alignment vertical="top" wrapText="1"/>
    </xf>
    <xf numFmtId="183" fontId="9" fillId="0" borderId="0" xfId="42" applyNumberFormat="1" applyFont="1" applyFill="1" applyBorder="1" applyAlignment="1">
      <alignment horizontal="left" vertical="top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83" fontId="90" fillId="0" borderId="0" xfId="42" applyNumberFormat="1" applyFont="1" applyBorder="1" applyAlignment="1">
      <alignment/>
    </xf>
    <xf numFmtId="0" fontId="90" fillId="33" borderId="37" xfId="60" applyFont="1" applyFill="1" applyBorder="1" applyAlignment="1">
      <alignment wrapText="1"/>
      <protection/>
    </xf>
    <xf numFmtId="0" fontId="90" fillId="0" borderId="37" xfId="0" applyFont="1" applyBorder="1" applyAlignment="1">
      <alignment horizontal="right" vertical="center"/>
    </xf>
    <xf numFmtId="183" fontId="90" fillId="0" borderId="37" xfId="42" applyNumberFormat="1" applyFont="1" applyBorder="1" applyAlignment="1">
      <alignment horizontal="center" vertical="center"/>
    </xf>
    <xf numFmtId="183" fontId="90" fillId="0" borderId="37" xfId="42" applyNumberFormat="1" applyFont="1" applyBorder="1" applyAlignment="1">
      <alignment vertical="center"/>
    </xf>
    <xf numFmtId="183" fontId="90" fillId="0" borderId="37" xfId="0" applyNumberFormat="1" applyFont="1" applyBorder="1" applyAlignment="1">
      <alignment vertical="center"/>
    </xf>
    <xf numFmtId="0" fontId="8" fillId="33" borderId="0" xfId="0" applyFont="1" applyFill="1" applyAlignment="1">
      <alignment/>
    </xf>
    <xf numFmtId="3" fontId="102" fillId="0" borderId="0" xfId="0" applyNumberFormat="1" applyFont="1" applyBorder="1" applyAlignment="1">
      <alignment horizontal="center" vertical="top"/>
    </xf>
    <xf numFmtId="183" fontId="99" fillId="0" borderId="71" xfId="42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9" fillId="0" borderId="89" xfId="0" applyFont="1" applyFill="1" applyBorder="1" applyAlignment="1">
      <alignment horizontal="center" vertical="top" wrapText="1"/>
    </xf>
    <xf numFmtId="0" fontId="8" fillId="33" borderId="101" xfId="0" applyFont="1" applyFill="1" applyBorder="1" applyAlignment="1">
      <alignment vertical="center" wrapText="1"/>
    </xf>
    <xf numFmtId="0" fontId="8" fillId="33" borderId="101" xfId="0" applyFont="1" applyFill="1" applyBorder="1" applyAlignment="1">
      <alignment horizontal="left" vertical="center" wrapText="1"/>
    </xf>
    <xf numFmtId="183" fontId="8" fillId="33" borderId="101" xfId="42" applyNumberFormat="1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vertical="center" wrapText="1"/>
    </xf>
    <xf numFmtId="0" fontId="8" fillId="0" borderId="101" xfId="0" applyFont="1" applyFill="1" applyBorder="1" applyAlignment="1">
      <alignment horizontal="left" vertical="center" wrapText="1"/>
    </xf>
    <xf numFmtId="183" fontId="8" fillId="0" borderId="101" xfId="42" applyNumberFormat="1" applyFont="1" applyFill="1" applyBorder="1" applyAlignment="1">
      <alignment horizontal="center" vertical="center" wrapText="1"/>
    </xf>
    <xf numFmtId="0" fontId="99" fillId="0" borderId="101" xfId="0" applyFont="1" applyBorder="1" applyAlignment="1">
      <alignment horizontal="left" vertical="top" wrapText="1"/>
    </xf>
    <xf numFmtId="0" fontId="99" fillId="0" borderId="101" xfId="0" applyFont="1" applyBorder="1" applyAlignment="1">
      <alignment vertical="top"/>
    </xf>
    <xf numFmtId="0" fontId="8" fillId="33" borderId="101" xfId="0" applyFont="1" applyFill="1" applyBorder="1" applyAlignment="1">
      <alignment horizontal="left" vertical="top" wrapText="1"/>
    </xf>
    <xf numFmtId="0" fontId="8" fillId="33" borderId="101" xfId="0" applyFont="1" applyFill="1" applyBorder="1" applyAlignment="1">
      <alignment horizontal="left" vertical="top"/>
    </xf>
    <xf numFmtId="0" fontId="8" fillId="0" borderId="101" xfId="0" applyFont="1" applyFill="1" applyBorder="1" applyAlignment="1">
      <alignment vertical="top" wrapText="1"/>
    </xf>
    <xf numFmtId="0" fontId="99" fillId="0" borderId="101" xfId="0" applyFont="1" applyBorder="1" applyAlignment="1">
      <alignment vertical="top" wrapText="1"/>
    </xf>
    <xf numFmtId="0" fontId="8" fillId="0" borderId="101" xfId="0" applyFont="1" applyFill="1" applyBorder="1" applyAlignment="1">
      <alignment horizontal="left" vertical="top" wrapText="1"/>
    </xf>
    <xf numFmtId="183" fontId="8" fillId="0" borderId="101" xfId="42" applyNumberFormat="1" applyFont="1" applyFill="1" applyBorder="1" applyAlignment="1">
      <alignment horizontal="right" vertical="top" wrapText="1"/>
    </xf>
    <xf numFmtId="0" fontId="8" fillId="0" borderId="102" xfId="0" applyFont="1" applyFill="1" applyBorder="1" applyAlignment="1">
      <alignment vertical="top" wrapText="1"/>
    </xf>
    <xf numFmtId="0" fontId="8" fillId="0" borderId="103" xfId="0" applyFont="1" applyFill="1" applyBorder="1" applyAlignment="1">
      <alignment vertical="top" wrapText="1"/>
    </xf>
    <xf numFmtId="183" fontId="8" fillId="0" borderId="103" xfId="42" applyNumberFormat="1" applyFont="1" applyFill="1" applyBorder="1" applyAlignment="1">
      <alignment vertical="top" wrapText="1"/>
    </xf>
    <xf numFmtId="0" fontId="99" fillId="0" borderId="101" xfId="0" applyFont="1" applyBorder="1" applyAlignment="1">
      <alignment vertical="center" wrapText="1"/>
    </xf>
    <xf numFmtId="183" fontId="99" fillId="0" borderId="101" xfId="42" applyNumberFormat="1" applyFont="1" applyBorder="1" applyAlignment="1">
      <alignment vertical="top"/>
    </xf>
    <xf numFmtId="0" fontId="8" fillId="0" borderId="104" xfId="0" applyFont="1" applyFill="1" applyBorder="1" applyAlignment="1">
      <alignment vertical="top" wrapText="1"/>
    </xf>
    <xf numFmtId="0" fontId="99" fillId="0" borderId="105" xfId="0" applyFont="1" applyBorder="1" applyAlignment="1">
      <alignment/>
    </xf>
    <xf numFmtId="0" fontId="99" fillId="0" borderId="95" xfId="0" applyFont="1" applyBorder="1" applyAlignment="1">
      <alignment/>
    </xf>
    <xf numFmtId="183" fontId="8" fillId="0" borderId="95" xfId="42" applyNumberFormat="1" applyFont="1" applyFill="1" applyBorder="1" applyAlignment="1">
      <alignment horizontal="center" wrapText="1"/>
    </xf>
    <xf numFmtId="0" fontId="8" fillId="0" borderId="95" xfId="0" applyFont="1" applyFill="1" applyBorder="1" applyAlignment="1">
      <alignment horizontal="left" wrapText="1"/>
    </xf>
    <xf numFmtId="0" fontId="99" fillId="0" borderId="101" xfId="0" applyFont="1" applyFill="1" applyBorder="1" applyAlignment="1">
      <alignment vertical="top" wrapText="1"/>
    </xf>
    <xf numFmtId="0" fontId="99" fillId="0" borderId="101" xfId="0" applyFont="1" applyBorder="1" applyAlignment="1">
      <alignment/>
    </xf>
    <xf numFmtId="183" fontId="99" fillId="0" borderId="101" xfId="42" applyNumberFormat="1" applyFont="1" applyBorder="1" applyAlignment="1">
      <alignment/>
    </xf>
    <xf numFmtId="0" fontId="99" fillId="0" borderId="95" xfId="0" applyFont="1" applyBorder="1" applyAlignment="1">
      <alignment/>
    </xf>
    <xf numFmtId="183" fontId="8" fillId="0" borderId="95" xfId="42" applyNumberFormat="1" applyFont="1" applyFill="1" applyBorder="1" applyAlignment="1">
      <alignment horizontal="center" vertical="top" wrapText="1"/>
    </xf>
    <xf numFmtId="0" fontId="99" fillId="0" borderId="106" xfId="0" applyFont="1" applyFill="1" applyBorder="1" applyAlignment="1">
      <alignment vertical="top" wrapText="1"/>
    </xf>
    <xf numFmtId="183" fontId="8" fillId="0" borderId="103" xfId="42" applyNumberFormat="1" applyFont="1" applyFill="1" applyBorder="1" applyAlignment="1">
      <alignment horizontal="center" vertical="top" wrapText="1"/>
    </xf>
    <xf numFmtId="0" fontId="99" fillId="33" borderId="101" xfId="0" applyFont="1" applyFill="1" applyBorder="1" applyAlignment="1">
      <alignment vertical="top" wrapText="1"/>
    </xf>
    <xf numFmtId="0" fontId="99" fillId="33" borderId="101" xfId="0" applyFont="1" applyFill="1" applyBorder="1" applyAlignment="1">
      <alignment vertical="center" wrapText="1"/>
    </xf>
    <xf numFmtId="183" fontId="99" fillId="33" borderId="101" xfId="42" applyNumberFormat="1" applyFont="1" applyFill="1" applyBorder="1" applyAlignment="1">
      <alignment vertical="center" wrapText="1"/>
    </xf>
    <xf numFmtId="0" fontId="8" fillId="0" borderId="107" xfId="0" applyFont="1" applyBorder="1" applyAlignment="1">
      <alignment vertical="top" wrapText="1"/>
    </xf>
    <xf numFmtId="183" fontId="99" fillId="0" borderId="95" xfId="42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108" xfId="0" applyFont="1" applyBorder="1" applyAlignment="1">
      <alignment vertical="top" wrapText="1"/>
    </xf>
    <xf numFmtId="0" fontId="8" fillId="0" borderId="101" xfId="0" applyFont="1" applyBorder="1" applyAlignment="1">
      <alignment vertical="top" wrapText="1"/>
    </xf>
    <xf numFmtId="183" fontId="8" fillId="0" borderId="101" xfId="42" applyNumberFormat="1" applyFont="1" applyFill="1" applyBorder="1" applyAlignment="1">
      <alignment/>
    </xf>
    <xf numFmtId="0" fontId="8" fillId="0" borderId="109" xfId="0" applyFont="1" applyFill="1" applyBorder="1" applyAlignment="1">
      <alignment vertical="top" wrapText="1"/>
    </xf>
    <xf numFmtId="183" fontId="8" fillId="0" borderId="109" xfId="42" applyNumberFormat="1" applyFont="1" applyFill="1" applyBorder="1" applyAlignment="1">
      <alignment/>
    </xf>
    <xf numFmtId="0" fontId="99" fillId="0" borderId="101" xfId="0" applyFont="1" applyBorder="1" applyAlignment="1">
      <alignment wrapText="1"/>
    </xf>
    <xf numFmtId="0" fontId="99" fillId="0" borderId="110" xfId="0" applyFont="1" applyBorder="1" applyAlignment="1">
      <alignment vertical="center" wrapText="1"/>
    </xf>
    <xf numFmtId="0" fontId="99" fillId="0" borderId="110" xfId="0" applyFont="1" applyBorder="1" applyAlignment="1">
      <alignment horizontal="left" vertical="top" wrapText="1"/>
    </xf>
    <xf numFmtId="0" fontId="8" fillId="0" borderId="110" xfId="0" applyFont="1" applyBorder="1" applyAlignment="1">
      <alignment horizontal="left" vertical="top" wrapText="1"/>
    </xf>
    <xf numFmtId="0" fontId="8" fillId="0" borderId="101" xfId="0" applyFont="1" applyBorder="1" applyAlignment="1">
      <alignment horizontal="left" vertical="top" wrapText="1"/>
    </xf>
    <xf numFmtId="0" fontId="99" fillId="33" borderId="101" xfId="0" applyFont="1" applyFill="1" applyBorder="1" applyAlignment="1">
      <alignment wrapText="1"/>
    </xf>
    <xf numFmtId="0" fontId="99" fillId="33" borderId="101" xfId="0" applyFont="1" applyFill="1" applyBorder="1" applyAlignment="1">
      <alignment vertical="top"/>
    </xf>
    <xf numFmtId="0" fontId="99" fillId="0" borderId="110" xfId="0" applyFont="1" applyBorder="1" applyAlignment="1">
      <alignment vertical="center"/>
    </xf>
    <xf numFmtId="0" fontId="99" fillId="0" borderId="101" xfId="0" applyFont="1" applyBorder="1" applyAlignment="1">
      <alignment vertical="center"/>
    </xf>
    <xf numFmtId="0" fontId="99" fillId="0" borderId="101" xfId="0" applyFont="1" applyBorder="1" applyAlignment="1">
      <alignment horizontal="left" vertical="top"/>
    </xf>
    <xf numFmtId="183" fontId="8" fillId="0" borderId="101" xfId="42" applyNumberFormat="1" applyFont="1" applyFill="1" applyBorder="1" applyAlignment="1">
      <alignment horizontal="left" vertical="top" wrapText="1"/>
    </xf>
    <xf numFmtId="0" fontId="8" fillId="0" borderId="111" xfId="0" applyFont="1" applyBorder="1" applyAlignment="1">
      <alignment horizontal="left" vertical="top" wrapText="1"/>
    </xf>
    <xf numFmtId="183" fontId="99" fillId="0" borderId="101" xfId="42" applyNumberFormat="1" applyFont="1" applyBorder="1" applyAlignment="1">
      <alignment vertical="top" wrapText="1"/>
    </xf>
    <xf numFmtId="0" fontId="8" fillId="33" borderId="101" xfId="0" applyFont="1" applyFill="1" applyBorder="1" applyAlignment="1">
      <alignment vertical="center"/>
    </xf>
    <xf numFmtId="183" fontId="8" fillId="33" borderId="101" xfId="42" applyNumberFormat="1" applyFont="1" applyFill="1" applyBorder="1" applyAlignment="1">
      <alignment vertical="top" wrapText="1"/>
    </xf>
    <xf numFmtId="183" fontId="8" fillId="33" borderId="101" xfId="42" applyNumberFormat="1" applyFont="1" applyFill="1" applyBorder="1" applyAlignment="1">
      <alignment horizontal="left" vertical="top" wrapText="1"/>
    </xf>
    <xf numFmtId="183" fontId="8" fillId="0" borderId="101" xfId="42" applyNumberFormat="1" applyFont="1" applyFill="1" applyBorder="1" applyAlignment="1">
      <alignment vertical="top" wrapText="1"/>
    </xf>
    <xf numFmtId="0" fontId="99" fillId="33" borderId="106" xfId="0" applyFont="1" applyFill="1" applyBorder="1" applyAlignment="1">
      <alignment vertical="top" wrapText="1"/>
    </xf>
    <xf numFmtId="0" fontId="99" fillId="0" borderId="106" xfId="0" applyFont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106" xfId="0" applyFont="1" applyBorder="1" applyAlignment="1">
      <alignment horizontal="left" vertical="top" wrapText="1"/>
    </xf>
    <xf numFmtId="183" fontId="8" fillId="0" borderId="106" xfId="42" applyNumberFormat="1" applyFont="1" applyBorder="1" applyAlignment="1">
      <alignment horizontal="left" vertical="top" wrapText="1"/>
    </xf>
    <xf numFmtId="0" fontId="99" fillId="0" borderId="95" xfId="0" applyFont="1" applyBorder="1" applyAlignment="1">
      <alignment horizontal="left" vertical="top" wrapText="1"/>
    </xf>
    <xf numFmtId="0" fontId="99" fillId="0" borderId="101" xfId="0" applyFont="1" applyBorder="1" applyAlignment="1">
      <alignment horizontal="left" wrapText="1"/>
    </xf>
    <xf numFmtId="0" fontId="99" fillId="0" borderId="112" xfId="0" applyFont="1" applyBorder="1" applyAlignment="1">
      <alignment horizontal="left" wrapText="1"/>
    </xf>
    <xf numFmtId="0" fontId="8" fillId="33" borderId="101" xfId="0" applyFont="1" applyFill="1" applyBorder="1" applyAlignment="1">
      <alignment vertical="top" wrapText="1"/>
    </xf>
    <xf numFmtId="0" fontId="99" fillId="0" borderId="0" xfId="0" applyFont="1" applyBorder="1" applyAlignment="1">
      <alignment horizontal="left" wrapText="1"/>
    </xf>
    <xf numFmtId="0" fontId="8" fillId="33" borderId="107" xfId="0" applyFont="1" applyFill="1" applyBorder="1" applyAlignment="1">
      <alignment vertical="top" wrapText="1"/>
    </xf>
    <xf numFmtId="183" fontId="8" fillId="33" borderId="107" xfId="42" applyNumberFormat="1" applyFont="1" applyFill="1" applyBorder="1" applyAlignment="1">
      <alignment vertical="top" wrapText="1"/>
    </xf>
    <xf numFmtId="0" fontId="8" fillId="0" borderId="106" xfId="0" applyFont="1" applyBorder="1" applyAlignment="1">
      <alignment vertical="top" wrapText="1"/>
    </xf>
    <xf numFmtId="183" fontId="99" fillId="0" borderId="101" xfId="42" applyNumberFormat="1" applyFont="1" applyBorder="1" applyAlignment="1">
      <alignment horizontal="left" vertical="top" wrapText="1"/>
    </xf>
    <xf numFmtId="183" fontId="8" fillId="0" borderId="95" xfId="42" applyNumberFormat="1" applyFont="1" applyFill="1" applyBorder="1" applyAlignment="1">
      <alignment horizontal="left" vertical="top" wrapText="1"/>
    </xf>
    <xf numFmtId="183" fontId="8" fillId="0" borderId="101" xfId="42" applyNumberFormat="1" applyFont="1" applyBorder="1" applyAlignment="1">
      <alignment vertical="top" wrapText="1"/>
    </xf>
    <xf numFmtId="0" fontId="8" fillId="0" borderId="95" xfId="0" applyFont="1" applyBorder="1" applyAlignment="1">
      <alignment/>
    </xf>
    <xf numFmtId="0" fontId="8" fillId="35" borderId="101" xfId="0" applyFont="1" applyFill="1" applyBorder="1" applyAlignment="1">
      <alignment horizontal="left" vertical="top" wrapText="1"/>
    </xf>
    <xf numFmtId="0" fontId="8" fillId="35" borderId="106" xfId="0" applyFont="1" applyFill="1" applyBorder="1" applyAlignment="1">
      <alignment vertical="top" wrapText="1"/>
    </xf>
    <xf numFmtId="183" fontId="8" fillId="35" borderId="101" xfId="42" applyNumberFormat="1" applyFont="1" applyFill="1" applyBorder="1" applyAlignment="1">
      <alignment vertical="top" wrapText="1"/>
    </xf>
    <xf numFmtId="0" fontId="8" fillId="0" borderId="95" xfId="0" applyFont="1" applyBorder="1" applyAlignment="1">
      <alignment vertical="top"/>
    </xf>
    <xf numFmtId="0" fontId="8" fillId="0" borderId="101" xfId="0" applyFont="1" applyBorder="1" applyAlignment="1">
      <alignment/>
    </xf>
    <xf numFmtId="183" fontId="8" fillId="0" borderId="0" xfId="42" applyNumberFormat="1" applyFont="1" applyFill="1" applyBorder="1" applyAlignment="1">
      <alignment horizontal="center" vertical="top" wrapText="1"/>
    </xf>
    <xf numFmtId="0" fontId="8" fillId="0" borderId="101" xfId="0" applyFont="1" applyBorder="1" applyAlignment="1">
      <alignment horizontal="left" vertical="top"/>
    </xf>
    <xf numFmtId="0" fontId="8" fillId="33" borderId="101" xfId="0" applyFont="1" applyFill="1" applyBorder="1" applyAlignment="1">
      <alignment/>
    </xf>
    <xf numFmtId="0" fontId="8" fillId="0" borderId="110" xfId="0" applyFont="1" applyBorder="1" applyAlignment="1">
      <alignment vertical="top" wrapText="1"/>
    </xf>
    <xf numFmtId="0" fontId="8" fillId="0" borderId="110" xfId="0" applyFont="1" applyBorder="1" applyAlignment="1">
      <alignment horizontal="left" vertical="top"/>
    </xf>
    <xf numFmtId="0" fontId="8" fillId="33" borderId="110" xfId="0" applyFont="1" applyFill="1" applyBorder="1" applyAlignment="1">
      <alignment/>
    </xf>
    <xf numFmtId="0" fontId="8" fillId="0" borderId="110" xfId="0" applyFont="1" applyBorder="1" applyAlignment="1">
      <alignment vertical="center"/>
    </xf>
    <xf numFmtId="183" fontId="8" fillId="0" borderId="0" xfId="42" applyNumberFormat="1" applyFont="1" applyFill="1" applyAlignment="1">
      <alignment vertical="top"/>
    </xf>
    <xf numFmtId="0" fontId="99" fillId="0" borderId="95" xfId="0" applyFont="1" applyBorder="1" applyAlignment="1">
      <alignment vertical="top" wrapText="1"/>
    </xf>
    <xf numFmtId="183" fontId="99" fillId="0" borderId="101" xfId="42" applyNumberFormat="1" applyFont="1" applyBorder="1" applyAlignment="1">
      <alignment horizontal="justify" vertical="top" wrapText="1"/>
    </xf>
    <xf numFmtId="0" fontId="8" fillId="33" borderId="101" xfId="0" applyFont="1" applyFill="1" applyBorder="1" applyAlignment="1">
      <alignment vertical="top"/>
    </xf>
    <xf numFmtId="183" fontId="99" fillId="0" borderId="105" xfId="42" applyNumberFormat="1" applyFont="1" applyBorder="1" applyAlignment="1">
      <alignment/>
    </xf>
    <xf numFmtId="0" fontId="99" fillId="0" borderId="101" xfId="0" applyFont="1" applyBorder="1" applyAlignment="1">
      <alignment horizontal="left"/>
    </xf>
    <xf numFmtId="0" fontId="99" fillId="0" borderId="113" xfId="0" applyFont="1" applyBorder="1" applyAlignment="1">
      <alignment vertical="top" wrapText="1"/>
    </xf>
    <xf numFmtId="0" fontId="99" fillId="0" borderId="113" xfId="0" applyFont="1" applyBorder="1" applyAlignment="1">
      <alignment vertical="top"/>
    </xf>
    <xf numFmtId="0" fontId="8" fillId="0" borderId="113" xfId="0" applyFont="1" applyBorder="1" applyAlignment="1">
      <alignment vertical="top"/>
    </xf>
    <xf numFmtId="0" fontId="8" fillId="0" borderId="113" xfId="0" applyFont="1" applyBorder="1" applyAlignment="1">
      <alignment vertical="top" wrapText="1"/>
    </xf>
    <xf numFmtId="0" fontId="8" fillId="0" borderId="113" xfId="0" applyFont="1" applyFill="1" applyBorder="1" applyAlignment="1">
      <alignment vertical="top" wrapText="1"/>
    </xf>
    <xf numFmtId="183" fontId="8" fillId="0" borderId="113" xfId="42" applyNumberFormat="1" applyFont="1" applyFill="1" applyBorder="1" applyAlignment="1">
      <alignment vertical="top" wrapText="1"/>
    </xf>
    <xf numFmtId="183" fontId="99" fillId="0" borderId="113" xfId="42" applyNumberFormat="1" applyFont="1" applyBorder="1" applyAlignment="1">
      <alignment vertical="top"/>
    </xf>
    <xf numFmtId="0" fontId="8" fillId="33" borderId="113" xfId="0" applyFont="1" applyFill="1" applyBorder="1" applyAlignment="1">
      <alignment vertical="top"/>
    </xf>
    <xf numFmtId="183" fontId="8" fillId="33" borderId="113" xfId="42" applyNumberFormat="1" applyFont="1" applyFill="1" applyBorder="1" applyAlignment="1">
      <alignment vertical="top" wrapText="1"/>
    </xf>
    <xf numFmtId="0" fontId="99" fillId="0" borderId="46" xfId="0" applyFont="1" applyBorder="1" applyAlignment="1">
      <alignment vertical="top" wrapText="1"/>
    </xf>
    <xf numFmtId="0" fontId="99" fillId="0" borderId="46" xfId="0" applyFont="1" applyBorder="1" applyAlignment="1">
      <alignment vertical="top"/>
    </xf>
    <xf numFmtId="0" fontId="99" fillId="0" borderId="46" xfId="0" applyFont="1" applyFill="1" applyBorder="1" applyAlignment="1">
      <alignment vertical="top" wrapText="1"/>
    </xf>
    <xf numFmtId="183" fontId="99" fillId="0" borderId="46" xfId="42" applyNumberFormat="1" applyFont="1" applyFill="1" applyBorder="1" applyAlignment="1">
      <alignment vertical="top" wrapText="1"/>
    </xf>
    <xf numFmtId="183" fontId="8" fillId="0" borderId="46" xfId="42" applyNumberFormat="1" applyFont="1" applyFill="1" applyBorder="1" applyAlignment="1">
      <alignment horizontal="right" vertical="top" wrapText="1"/>
    </xf>
    <xf numFmtId="0" fontId="99" fillId="0" borderId="114" xfId="0" applyFont="1" applyBorder="1" applyAlignment="1">
      <alignment wrapText="1"/>
    </xf>
    <xf numFmtId="0" fontId="99" fillId="0" borderId="114" xfId="0" applyFont="1" applyBorder="1" applyAlignment="1">
      <alignment vertical="center" wrapText="1"/>
    </xf>
    <xf numFmtId="0" fontId="8" fillId="0" borderId="95" xfId="0" applyFont="1" applyBorder="1" applyAlignment="1">
      <alignment vertical="top" wrapText="1"/>
    </xf>
    <xf numFmtId="183" fontId="99" fillId="0" borderId="95" xfId="42" applyNumberFormat="1" applyFont="1" applyBorder="1" applyAlignment="1">
      <alignment horizontal="right" vertical="top"/>
    </xf>
    <xf numFmtId="0" fontId="99" fillId="0" borderId="95" xfId="0" applyFont="1" applyBorder="1" applyAlignment="1">
      <alignment wrapText="1"/>
    </xf>
    <xf numFmtId="0" fontId="99" fillId="0" borderId="114" xfId="0" applyFont="1" applyBorder="1" applyAlignment="1">
      <alignment vertical="center"/>
    </xf>
    <xf numFmtId="0" fontId="14" fillId="0" borderId="114" xfId="0" applyFont="1" applyBorder="1" applyAlignment="1">
      <alignment vertical="center" wrapText="1"/>
    </xf>
    <xf numFmtId="0" fontId="99" fillId="0" borderId="95" xfId="0" applyFont="1" applyBorder="1" applyAlignment="1">
      <alignment vertical="top"/>
    </xf>
    <xf numFmtId="0" fontId="99" fillId="0" borderId="95" xfId="0" applyFont="1" applyBorder="1" applyAlignment="1">
      <alignment horizontal="left" wrapText="1"/>
    </xf>
    <xf numFmtId="0" fontId="111" fillId="0" borderId="101" xfId="0" applyFont="1" applyBorder="1" applyAlignment="1">
      <alignment/>
    </xf>
    <xf numFmtId="183" fontId="8" fillId="0" borderId="105" xfId="42" applyNumberFormat="1" applyFont="1" applyFill="1" applyBorder="1" applyAlignment="1">
      <alignment vertical="top" wrapText="1"/>
    </xf>
    <xf numFmtId="183" fontId="99" fillId="0" borderId="95" xfId="42" applyNumberFormat="1" applyFont="1" applyBorder="1" applyAlignment="1">
      <alignment horizontal="right"/>
    </xf>
    <xf numFmtId="183" fontId="8" fillId="0" borderId="110" xfId="42" applyNumberFormat="1" applyFont="1" applyBorder="1" applyAlignment="1">
      <alignment vertical="top" wrapText="1"/>
    </xf>
    <xf numFmtId="183" fontId="8" fillId="33" borderId="101" xfId="42" applyNumberFormat="1" applyFont="1" applyFill="1" applyBorder="1" applyAlignment="1">
      <alignment/>
    </xf>
    <xf numFmtId="183" fontId="8" fillId="33" borderId="110" xfId="42" applyNumberFormat="1" applyFont="1" applyFill="1" applyBorder="1" applyAlignment="1">
      <alignment/>
    </xf>
    <xf numFmtId="183" fontId="8" fillId="0" borderId="110" xfId="42" applyNumberFormat="1" applyFont="1" applyBorder="1" applyAlignment="1">
      <alignment horizontal="justify" vertical="top" wrapText="1"/>
    </xf>
    <xf numFmtId="183" fontId="8" fillId="0" borderId="113" xfId="42" applyNumberFormat="1" applyFont="1" applyBorder="1" applyAlignment="1">
      <alignment vertical="top" wrapText="1"/>
    </xf>
    <xf numFmtId="183" fontId="8" fillId="0" borderId="46" xfId="42" applyNumberFormat="1" applyFont="1" applyBorder="1" applyAlignment="1">
      <alignment vertical="top" wrapText="1"/>
    </xf>
    <xf numFmtId="183" fontId="8" fillId="0" borderId="101" xfId="42" applyNumberFormat="1" applyFont="1" applyBorder="1" applyAlignment="1">
      <alignment horizontal="right" vertical="top" wrapText="1"/>
    </xf>
    <xf numFmtId="0" fontId="112" fillId="0" borderId="0" xfId="0" applyFont="1" applyAlignment="1">
      <alignment/>
    </xf>
    <xf numFmtId="0" fontId="112" fillId="0" borderId="115" xfId="0" applyFont="1" applyBorder="1" applyAlignment="1">
      <alignment/>
    </xf>
    <xf numFmtId="0" fontId="113" fillId="0" borderId="0" xfId="0" applyFont="1" applyAlignment="1">
      <alignment/>
    </xf>
    <xf numFmtId="3" fontId="113" fillId="0" borderId="115" xfId="0" applyNumberFormat="1" applyFont="1" applyBorder="1" applyAlignment="1">
      <alignment horizontal="right"/>
    </xf>
    <xf numFmtId="0" fontId="113" fillId="0" borderId="115" xfId="0" applyFont="1" applyBorder="1" applyAlignment="1">
      <alignment horizontal="left"/>
    </xf>
    <xf numFmtId="183" fontId="114" fillId="0" borderId="0" xfId="42" applyNumberFormat="1" applyFont="1" applyAlignment="1">
      <alignment/>
    </xf>
    <xf numFmtId="183" fontId="115" fillId="0" borderId="0" xfId="42" applyNumberFormat="1" applyFont="1" applyAlignment="1">
      <alignment/>
    </xf>
    <xf numFmtId="183" fontId="114" fillId="0" borderId="116" xfId="42" applyNumberFormat="1" applyFont="1" applyBorder="1" applyAlignment="1">
      <alignment/>
    </xf>
    <xf numFmtId="183" fontId="115" fillId="0" borderId="116" xfId="42" applyNumberFormat="1" applyFont="1" applyBorder="1" applyAlignment="1">
      <alignment/>
    </xf>
    <xf numFmtId="183" fontId="99" fillId="33" borderId="117" xfId="42" applyNumberFormat="1" applyFont="1" applyFill="1" applyBorder="1" applyAlignment="1">
      <alignment horizontal="right"/>
    </xf>
    <xf numFmtId="183" fontId="100" fillId="36" borderId="118" xfId="42" applyNumberFormat="1" applyFont="1" applyFill="1" applyBorder="1" applyAlignment="1">
      <alignment horizontal="right" vertical="top"/>
    </xf>
    <xf numFmtId="0" fontId="99" fillId="33" borderId="72" xfId="60" applyFont="1" applyFill="1" applyBorder="1" applyAlignment="1">
      <alignment horizontal="center"/>
      <protection/>
    </xf>
    <xf numFmtId="0" fontId="99" fillId="33" borderId="119" xfId="60" applyFont="1" applyFill="1" applyBorder="1" applyAlignment="1">
      <alignment horizontal="right" vertical="top"/>
      <protection/>
    </xf>
    <xf numFmtId="9" fontId="112" fillId="0" borderId="0" xfId="63" applyFont="1" applyAlignment="1">
      <alignment/>
    </xf>
    <xf numFmtId="0" fontId="114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0" applyNumberFormat="1" applyFont="1" applyFill="1" applyAlignment="1">
      <alignment/>
    </xf>
    <xf numFmtId="0" fontId="114" fillId="0" borderId="115" xfId="0" applyFont="1" applyBorder="1" applyAlignment="1">
      <alignment/>
    </xf>
    <xf numFmtId="3" fontId="113" fillId="0" borderId="115" xfId="0" applyNumberFormat="1" applyFont="1" applyBorder="1" applyAlignment="1">
      <alignment/>
    </xf>
    <xf numFmtId="183" fontId="114" fillId="0" borderId="115" xfId="42" applyNumberFormat="1" applyFont="1" applyBorder="1" applyAlignment="1">
      <alignment/>
    </xf>
    <xf numFmtId="0" fontId="9" fillId="0" borderId="47" xfId="0" applyFont="1" applyFill="1" applyBorder="1" applyAlignment="1">
      <alignment horizontal="center" vertical="top" wrapText="1"/>
    </xf>
    <xf numFmtId="183" fontId="8" fillId="0" borderId="89" xfId="42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01" xfId="0" applyFont="1" applyBorder="1" applyAlignment="1">
      <alignment horizontal="left" wrapText="1"/>
    </xf>
    <xf numFmtId="183" fontId="8" fillId="0" borderId="101" xfId="42" applyNumberFormat="1" applyFont="1" applyBorder="1" applyAlignment="1">
      <alignment horizontal="justify" vertical="top" wrapText="1"/>
    </xf>
    <xf numFmtId="183" fontId="112" fillId="37" borderId="0" xfId="42" applyNumberFormat="1" applyFont="1" applyFill="1" applyAlignment="1">
      <alignment/>
    </xf>
    <xf numFmtId="0" fontId="99" fillId="0" borderId="114" xfId="0" applyFont="1" applyFill="1" applyBorder="1" applyAlignment="1">
      <alignment vertical="top" wrapText="1"/>
    </xf>
    <xf numFmtId="183" fontId="99" fillId="0" borderId="101" xfId="42" applyNumberFormat="1" applyFont="1" applyBorder="1" applyAlignment="1">
      <alignment horizontal="right"/>
    </xf>
    <xf numFmtId="0" fontId="8" fillId="19" borderId="0" xfId="0" applyFont="1" applyFill="1" applyAlignment="1">
      <alignment/>
    </xf>
    <xf numFmtId="0" fontId="8" fillId="0" borderId="120" xfId="0" applyFont="1" applyFill="1" applyBorder="1" applyAlignment="1">
      <alignment vertical="top" wrapText="1"/>
    </xf>
    <xf numFmtId="183" fontId="8" fillId="0" borderId="114" xfId="42" applyNumberFormat="1" applyFont="1" applyFill="1" applyBorder="1" applyAlignment="1">
      <alignment vertical="top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183" fontId="112" fillId="0" borderId="0" xfId="42" applyNumberFormat="1" applyFont="1" applyAlignment="1">
      <alignment/>
    </xf>
    <xf numFmtId="0" fontId="113" fillId="0" borderId="101" xfId="0" applyFont="1" applyBorder="1" applyAlignment="1">
      <alignment/>
    </xf>
    <xf numFmtId="183" fontId="113" fillId="0" borderId="101" xfId="42" applyNumberFormat="1" applyFont="1" applyBorder="1" applyAlignment="1">
      <alignment/>
    </xf>
    <xf numFmtId="0" fontId="112" fillId="0" borderId="101" xfId="0" applyFont="1" applyBorder="1" applyAlignment="1">
      <alignment horizontal="center"/>
    </xf>
    <xf numFmtId="0" fontId="112" fillId="0" borderId="101" xfId="0" applyFont="1" applyBorder="1" applyAlignment="1">
      <alignment/>
    </xf>
    <xf numFmtId="183" fontId="112" fillId="0" borderId="101" xfId="42" applyNumberFormat="1" applyFont="1" applyBorder="1" applyAlignment="1">
      <alignment/>
    </xf>
    <xf numFmtId="9" fontId="116" fillId="0" borderId="101" xfId="63" applyFont="1" applyBorder="1" applyAlignment="1">
      <alignment/>
    </xf>
    <xf numFmtId="0" fontId="8" fillId="0" borderId="101" xfId="0" applyFont="1" applyFill="1" applyBorder="1" applyAlignment="1">
      <alignment vertical="top"/>
    </xf>
    <xf numFmtId="183" fontId="115" fillId="0" borderId="121" xfId="42" applyNumberFormat="1" applyFont="1" applyBorder="1" applyAlignment="1">
      <alignment/>
    </xf>
    <xf numFmtId="3" fontId="112" fillId="0" borderId="0" xfId="0" applyNumberFormat="1" applyFont="1" applyAlignment="1">
      <alignment/>
    </xf>
    <xf numFmtId="0" fontId="112" fillId="0" borderId="122" xfId="0" applyFont="1" applyBorder="1" applyAlignment="1">
      <alignment/>
    </xf>
    <xf numFmtId="3" fontId="117" fillId="0" borderId="0" xfId="0" applyNumberFormat="1" applyFont="1" applyAlignment="1">
      <alignment/>
    </xf>
    <xf numFmtId="183" fontId="112" fillId="0" borderId="122" xfId="42" applyNumberFormat="1" applyFont="1" applyBorder="1" applyAlignment="1">
      <alignment/>
    </xf>
    <xf numFmtId="0" fontId="113" fillId="0" borderId="122" xfId="0" applyFont="1" applyBorder="1" applyAlignment="1">
      <alignment/>
    </xf>
    <xf numFmtId="183" fontId="113" fillId="0" borderId="122" xfId="42" applyNumberFormat="1" applyFont="1" applyBorder="1" applyAlignment="1">
      <alignment/>
    </xf>
    <xf numFmtId="183" fontId="0" fillId="0" borderId="0" xfId="42" applyNumberFormat="1" applyFont="1" applyAlignment="1">
      <alignment/>
    </xf>
    <xf numFmtId="0" fontId="82" fillId="0" borderId="0" xfId="0" applyFont="1" applyAlignment="1">
      <alignment/>
    </xf>
    <xf numFmtId="183" fontId="82" fillId="0" borderId="0" xfId="42" applyNumberFormat="1" applyFont="1" applyAlignment="1">
      <alignment/>
    </xf>
    <xf numFmtId="0" fontId="112" fillId="0" borderId="122" xfId="0" applyFont="1" applyFill="1" applyBorder="1" applyAlignment="1">
      <alignment/>
    </xf>
    <xf numFmtId="0" fontId="113" fillId="0" borderId="12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112" fillId="0" borderId="122" xfId="42" applyNumberFormat="1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63" applyFont="1" applyAlignment="1">
      <alignment/>
    </xf>
    <xf numFmtId="183" fontId="82" fillId="20" borderId="0" xfId="0" applyNumberFormat="1" applyFont="1" applyFill="1" applyAlignment="1">
      <alignment/>
    </xf>
    <xf numFmtId="183" fontId="0" fillId="34" borderId="37" xfId="0" applyNumberFormat="1" applyFill="1" applyBorder="1" applyAlignment="1">
      <alignment/>
    </xf>
    <xf numFmtId="183" fontId="99" fillId="34" borderId="71" xfId="42" applyNumberFormat="1" applyFont="1" applyFill="1" applyBorder="1" applyAlignment="1">
      <alignment horizontal="right"/>
    </xf>
    <xf numFmtId="183" fontId="0" fillId="33" borderId="0" xfId="0" applyNumberFormat="1" applyFont="1" applyFill="1" applyAlignment="1">
      <alignment/>
    </xf>
    <xf numFmtId="0" fontId="118" fillId="0" borderId="0" xfId="0" applyFont="1" applyFill="1" applyAlignment="1">
      <alignment/>
    </xf>
    <xf numFmtId="0" fontId="119" fillId="0" borderId="0" xfId="0" applyFont="1" applyFill="1" applyAlignment="1">
      <alignment/>
    </xf>
    <xf numFmtId="0" fontId="9" fillId="0" borderId="5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183" fontId="8" fillId="0" borderId="0" xfId="42" applyNumberFormat="1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183" fontId="8" fillId="0" borderId="95" xfId="42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183" fontId="8" fillId="0" borderId="101" xfId="42" applyNumberFormat="1" applyFont="1" applyBorder="1" applyAlignment="1">
      <alignment/>
    </xf>
    <xf numFmtId="0" fontId="99" fillId="0" borderId="0" xfId="0" applyFont="1" applyBorder="1" applyAlignment="1">
      <alignment/>
    </xf>
    <xf numFmtId="0" fontId="99" fillId="0" borderId="11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111" fillId="0" borderId="101" xfId="0" applyFont="1" applyBorder="1" applyAlignment="1">
      <alignment wrapText="1"/>
    </xf>
    <xf numFmtId="0" fontId="8" fillId="0" borderId="53" xfId="0" applyFont="1" applyFill="1" applyBorder="1" applyAlignment="1">
      <alignment/>
    </xf>
    <xf numFmtId="183" fontId="8" fillId="0" borderId="101" xfId="42" applyNumberFormat="1" applyFont="1" applyBorder="1" applyAlignment="1">
      <alignment horizontal="left" vertical="top" wrapText="1"/>
    </xf>
    <xf numFmtId="183" fontId="8" fillId="0" borderId="110" xfId="42" applyNumberFormat="1" applyFont="1" applyBorder="1" applyAlignment="1">
      <alignment vertical="top"/>
    </xf>
    <xf numFmtId="183" fontId="8" fillId="0" borderId="0" xfId="42" applyNumberFormat="1" applyFont="1" applyBorder="1" applyAlignment="1">
      <alignment vertical="top" wrapText="1"/>
    </xf>
    <xf numFmtId="183" fontId="8" fillId="33" borderId="101" xfId="42" applyNumberFormat="1" applyFont="1" applyFill="1" applyBorder="1" applyAlignment="1">
      <alignment vertical="top"/>
    </xf>
    <xf numFmtId="0" fontId="8" fillId="0" borderId="101" xfId="0" applyFont="1" applyBorder="1" applyAlignment="1">
      <alignment wrapText="1"/>
    </xf>
    <xf numFmtId="183" fontId="99" fillId="34" borderId="71" xfId="42" applyNumberFormat="1" applyFont="1" applyFill="1" applyBorder="1" applyAlignment="1">
      <alignment horizontal="right" vertical="top"/>
    </xf>
    <xf numFmtId="183" fontId="99" fillId="34" borderId="71" xfId="60" applyNumberFormat="1" applyFont="1" applyFill="1" applyBorder="1" applyAlignment="1">
      <alignment horizontal="right" vertical="top"/>
      <protection/>
    </xf>
    <xf numFmtId="0" fontId="99" fillId="34" borderId="71" xfId="60" applyFont="1" applyFill="1" applyBorder="1" applyAlignment="1">
      <alignment horizontal="center"/>
      <protection/>
    </xf>
    <xf numFmtId="0" fontId="99" fillId="34" borderId="71" xfId="60" applyFont="1" applyFill="1" applyBorder="1" applyAlignment="1">
      <alignment horizontal="right"/>
      <protection/>
    </xf>
    <xf numFmtId="0" fontId="99" fillId="34" borderId="71" xfId="60" applyFont="1" applyFill="1" applyBorder="1" applyAlignment="1">
      <alignment/>
      <protection/>
    </xf>
    <xf numFmtId="183" fontId="0" fillId="34" borderId="0" xfId="42" applyNumberFormat="1" applyFont="1" applyFill="1" applyAlignment="1">
      <alignment/>
    </xf>
    <xf numFmtId="0" fontId="0" fillId="34" borderId="0" xfId="0" applyFont="1" applyFill="1" applyAlignment="1">
      <alignment/>
    </xf>
    <xf numFmtId="183" fontId="115" fillId="3" borderId="116" xfId="42" applyNumberFormat="1" applyFont="1" applyFill="1" applyBorder="1" applyAlignment="1">
      <alignment/>
    </xf>
    <xf numFmtId="183" fontId="115" fillId="3" borderId="0" xfId="42" applyNumberFormat="1" applyFont="1" applyFill="1" applyAlignment="1">
      <alignment/>
    </xf>
    <xf numFmtId="183" fontId="115" fillId="13" borderId="116" xfId="42" applyNumberFormat="1" applyFont="1" applyFill="1" applyBorder="1" applyAlignment="1">
      <alignment/>
    </xf>
    <xf numFmtId="183" fontId="115" fillId="13" borderId="0" xfId="42" applyNumberFormat="1" applyFont="1" applyFill="1" applyAlignment="1">
      <alignment/>
    </xf>
    <xf numFmtId="183" fontId="115" fillId="38" borderId="116" xfId="42" applyNumberFormat="1" applyFont="1" applyFill="1" applyBorder="1" applyAlignment="1">
      <alignment/>
    </xf>
    <xf numFmtId="183" fontId="115" fillId="38" borderId="0" xfId="42" applyNumberFormat="1" applyFont="1" applyFill="1" applyAlignment="1">
      <alignment/>
    </xf>
    <xf numFmtId="183" fontId="115" fillId="16" borderId="116" xfId="42" applyNumberFormat="1" applyFont="1" applyFill="1" applyBorder="1" applyAlignment="1">
      <alignment/>
    </xf>
    <xf numFmtId="183" fontId="115" fillId="16" borderId="0" xfId="42" applyNumberFormat="1" applyFont="1" applyFill="1" applyAlignment="1">
      <alignment/>
    </xf>
    <xf numFmtId="183" fontId="115" fillId="39" borderId="116" xfId="42" applyNumberFormat="1" applyFont="1" applyFill="1" applyBorder="1" applyAlignment="1">
      <alignment/>
    </xf>
    <xf numFmtId="183" fontId="114" fillId="39" borderId="0" xfId="42" applyNumberFormat="1" applyFont="1" applyFill="1" applyAlignment="1">
      <alignment/>
    </xf>
    <xf numFmtId="0" fontId="113" fillId="0" borderId="123" xfId="0" applyFont="1" applyBorder="1" applyAlignment="1">
      <alignment/>
    </xf>
    <xf numFmtId="183" fontId="113" fillId="0" borderId="124" xfId="42" applyNumberFormat="1" applyFont="1" applyBorder="1" applyAlignment="1">
      <alignment horizontal="center"/>
    </xf>
    <xf numFmtId="0" fontId="112" fillId="0" borderId="123" xfId="0" applyFont="1" applyBorder="1" applyAlignment="1">
      <alignment horizontal="center"/>
    </xf>
    <xf numFmtId="183" fontId="112" fillId="0" borderId="124" xfId="42" applyNumberFormat="1" applyFont="1" applyBorder="1" applyAlignment="1">
      <alignment/>
    </xf>
    <xf numFmtId="183" fontId="113" fillId="0" borderId="125" xfId="42" applyNumberFormat="1" applyFont="1" applyBorder="1" applyAlignment="1">
      <alignment/>
    </xf>
    <xf numFmtId="183" fontId="115" fillId="40" borderId="121" xfId="42" applyNumberFormat="1" applyFont="1" applyFill="1" applyBorder="1" applyAlignment="1">
      <alignment/>
    </xf>
    <xf numFmtId="183" fontId="115" fillId="40" borderId="121" xfId="42" applyNumberFormat="1" applyFont="1" applyFill="1" applyBorder="1" applyAlignment="1">
      <alignment wrapText="1"/>
    </xf>
    <xf numFmtId="183" fontId="8" fillId="34" borderId="71" xfId="42" applyNumberFormat="1" applyFont="1" applyFill="1" applyBorder="1" applyAlignment="1">
      <alignment horizontal="right" vertical="top"/>
    </xf>
    <xf numFmtId="0" fontId="9" fillId="0" borderId="53" xfId="0" applyFont="1" applyFill="1" applyBorder="1" applyAlignment="1">
      <alignment horizontal="center" vertical="center" wrapText="1"/>
    </xf>
    <xf numFmtId="0" fontId="120" fillId="0" borderId="126" xfId="0" applyFont="1" applyBorder="1" applyAlignment="1">
      <alignment horizontal="center"/>
    </xf>
    <xf numFmtId="0" fontId="120" fillId="0" borderId="127" xfId="0" applyFont="1" applyBorder="1" applyAlignment="1">
      <alignment/>
    </xf>
    <xf numFmtId="183" fontId="0" fillId="0" borderId="0" xfId="42" applyNumberFormat="1" applyFont="1" applyAlignment="1">
      <alignment/>
    </xf>
    <xf numFmtId="183" fontId="113" fillId="0" borderId="115" xfId="42" applyNumberFormat="1" applyFont="1" applyBorder="1" applyAlignment="1">
      <alignment/>
    </xf>
    <xf numFmtId="183" fontId="112" fillId="0" borderId="115" xfId="42" applyNumberFormat="1" applyFont="1" applyBorder="1" applyAlignment="1">
      <alignment/>
    </xf>
    <xf numFmtId="183" fontId="113" fillId="0" borderId="115" xfId="42" applyNumberFormat="1" applyFont="1" applyBorder="1" applyAlignment="1">
      <alignment/>
    </xf>
    <xf numFmtId="183" fontId="115" fillId="0" borderId="115" xfId="42" applyNumberFormat="1" applyFont="1" applyBorder="1" applyAlignment="1">
      <alignment/>
    </xf>
    <xf numFmtId="183" fontId="113" fillId="0" borderId="115" xfId="42" applyNumberFormat="1" applyFont="1" applyBorder="1" applyAlignment="1">
      <alignment horizontal="center"/>
    </xf>
    <xf numFmtId="183" fontId="113" fillId="0" borderId="0" xfId="42" applyNumberFormat="1" applyFont="1" applyAlignment="1">
      <alignment/>
    </xf>
    <xf numFmtId="183" fontId="114" fillId="0" borderId="0" xfId="42" applyNumberFormat="1" applyFont="1" applyFill="1" applyAlignment="1">
      <alignment/>
    </xf>
    <xf numFmtId="0" fontId="9" fillId="0" borderId="53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99" fillId="0" borderId="101" xfId="0" applyFont="1" applyFill="1" applyBorder="1" applyAlignment="1">
      <alignment horizontal="left" vertical="top" wrapText="1"/>
    </xf>
    <xf numFmtId="0" fontId="99" fillId="0" borderId="101" xfId="0" applyFont="1" applyFill="1" applyBorder="1" applyAlignment="1">
      <alignment horizontal="left" vertical="top"/>
    </xf>
    <xf numFmtId="183" fontId="99" fillId="0" borderId="101" xfId="42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9" fillId="0" borderId="101" xfId="0" applyFont="1" applyFill="1" applyBorder="1" applyAlignment="1">
      <alignment/>
    </xf>
    <xf numFmtId="177" fontId="8" fillId="0" borderId="0" xfId="42" applyFont="1" applyFill="1" applyAlignment="1">
      <alignment/>
    </xf>
    <xf numFmtId="177" fontId="8" fillId="0" borderId="0" xfId="42" applyFont="1" applyFill="1" applyAlignment="1">
      <alignment vertical="center"/>
    </xf>
    <xf numFmtId="177" fontId="118" fillId="0" borderId="0" xfId="42" applyFont="1" applyFill="1" applyAlignment="1">
      <alignment/>
    </xf>
    <xf numFmtId="177" fontId="119" fillId="0" borderId="0" xfId="42" applyFont="1" applyFill="1" applyAlignment="1">
      <alignment/>
    </xf>
    <xf numFmtId="177" fontId="9" fillId="0" borderId="0" xfId="42" applyFont="1" applyFill="1" applyAlignment="1">
      <alignment/>
    </xf>
    <xf numFmtId="177" fontId="9" fillId="0" borderId="0" xfId="42" applyFont="1" applyFill="1" applyAlignment="1">
      <alignment horizontal="left"/>
    </xf>
    <xf numFmtId="177" fontId="8" fillId="0" borderId="0" xfId="42" applyFont="1" applyFill="1" applyAlignment="1">
      <alignment/>
    </xf>
    <xf numFmtId="177" fontId="8" fillId="33" borderId="0" xfId="42" applyFont="1" applyFill="1" applyAlignment="1">
      <alignment/>
    </xf>
    <xf numFmtId="177" fontId="8" fillId="19" borderId="0" xfId="42" applyFont="1" applyFill="1" applyAlignment="1">
      <alignment/>
    </xf>
    <xf numFmtId="177" fontId="112" fillId="0" borderId="0" xfId="42" applyFont="1" applyAlignment="1">
      <alignment/>
    </xf>
    <xf numFmtId="0" fontId="8" fillId="0" borderId="95" xfId="0" applyFont="1" applyFill="1" applyBorder="1" applyAlignment="1">
      <alignment/>
    </xf>
    <xf numFmtId="0" fontId="8" fillId="0" borderId="107" xfId="0" applyFont="1" applyFill="1" applyBorder="1" applyAlignment="1">
      <alignment vertical="top" wrapText="1"/>
    </xf>
    <xf numFmtId="177" fontId="117" fillId="0" borderId="0" xfId="42" applyFont="1" applyFill="1" applyAlignment="1">
      <alignment/>
    </xf>
    <xf numFmtId="0" fontId="99" fillId="0" borderId="105" xfId="0" applyFont="1" applyFill="1" applyBorder="1" applyAlignment="1">
      <alignment vertical="top" wrapText="1"/>
    </xf>
    <xf numFmtId="0" fontId="8" fillId="0" borderId="111" xfId="0" applyFont="1" applyFill="1" applyBorder="1" applyAlignment="1">
      <alignment vertical="top" wrapText="1"/>
    </xf>
    <xf numFmtId="186" fontId="114" fillId="0" borderId="0" xfId="45" applyNumberFormat="1" applyFont="1" applyAlignment="1">
      <alignment/>
    </xf>
    <xf numFmtId="0" fontId="121" fillId="41" borderId="37" xfId="0" applyFont="1" applyFill="1" applyBorder="1" applyAlignment="1">
      <alignment vertical="center"/>
    </xf>
    <xf numFmtId="0" fontId="121" fillId="41" borderId="37" xfId="0" applyFont="1" applyFill="1" applyBorder="1" applyAlignment="1">
      <alignment vertical="center" wrapText="1"/>
    </xf>
    <xf numFmtId="186" fontId="121" fillId="41" borderId="37" xfId="45" applyNumberFormat="1" applyFont="1" applyFill="1" applyBorder="1" applyAlignment="1">
      <alignment horizontal="center" vertical="center" wrapText="1"/>
    </xf>
    <xf numFmtId="0" fontId="122" fillId="0" borderId="37" xfId="0" applyFont="1" applyFill="1" applyBorder="1" applyAlignment="1">
      <alignment vertical="center"/>
    </xf>
    <xf numFmtId="177" fontId="18" fillId="33" borderId="37" xfId="45" applyNumberFormat="1" applyFont="1" applyFill="1" applyBorder="1" applyAlignment="1">
      <alignment/>
    </xf>
    <xf numFmtId="183" fontId="122" fillId="0" borderId="37" xfId="45" applyNumberFormat="1" applyFont="1" applyBorder="1" applyAlignment="1">
      <alignment/>
    </xf>
    <xf numFmtId="183" fontId="114" fillId="0" borderId="37" xfId="45" applyNumberFormat="1" applyFont="1" applyBorder="1" applyAlignment="1">
      <alignment/>
    </xf>
    <xf numFmtId="183" fontId="122" fillId="0" borderId="37" xfId="45" applyNumberFormat="1" applyFont="1" applyBorder="1" applyAlignment="1">
      <alignment horizontal="justify" vertical="top"/>
    </xf>
    <xf numFmtId="186" fontId="18" fillId="0" borderId="37" xfId="45" applyNumberFormat="1" applyFont="1" applyFill="1" applyBorder="1" applyAlignment="1">
      <alignment horizontal="center" vertical="center" wrapText="1"/>
    </xf>
    <xf numFmtId="186" fontId="18" fillId="0" borderId="37" xfId="45" applyNumberFormat="1" applyFont="1" applyFill="1" applyBorder="1" applyAlignment="1">
      <alignment vertical="center"/>
    </xf>
    <xf numFmtId="186" fontId="114" fillId="0" borderId="37" xfId="45" applyNumberFormat="1" applyFont="1" applyBorder="1" applyAlignment="1">
      <alignment vertical="center"/>
    </xf>
    <xf numFmtId="186" fontId="122" fillId="0" borderId="37" xfId="45" applyNumberFormat="1" applyFont="1" applyBorder="1" applyAlignment="1">
      <alignment vertical="center"/>
    </xf>
    <xf numFmtId="186" fontId="114" fillId="0" borderId="37" xfId="45" applyNumberFormat="1" applyFont="1" applyBorder="1" applyAlignment="1">
      <alignment/>
    </xf>
    <xf numFmtId="186" fontId="17" fillId="33" borderId="87" xfId="45" applyNumberFormat="1" applyFont="1" applyFill="1" applyBorder="1" applyAlignment="1">
      <alignment/>
    </xf>
    <xf numFmtId="0" fontId="115" fillId="0" borderId="0" xfId="0" applyFont="1" applyAlignment="1">
      <alignment/>
    </xf>
    <xf numFmtId="186" fontId="115" fillId="0" borderId="0" xfId="45" applyNumberFormat="1" applyFont="1" applyAlignment="1">
      <alignment/>
    </xf>
    <xf numFmtId="0" fontId="114" fillId="0" borderId="128" xfId="0" applyFont="1" applyBorder="1" applyAlignment="1">
      <alignment/>
    </xf>
    <xf numFmtId="0" fontId="114" fillId="0" borderId="0" xfId="0" applyFont="1" applyBorder="1" applyAlignment="1">
      <alignment/>
    </xf>
    <xf numFmtId="186" fontId="114" fillId="0" borderId="0" xfId="45" applyNumberFormat="1" applyFont="1" applyBorder="1" applyAlignment="1">
      <alignment/>
    </xf>
    <xf numFmtId="0" fontId="18" fillId="0" borderId="0" xfId="0" applyFont="1" applyBorder="1" applyAlignment="1">
      <alignment/>
    </xf>
    <xf numFmtId="0" fontId="114" fillId="0" borderId="129" xfId="0" applyFont="1" applyBorder="1" applyAlignment="1">
      <alignment/>
    </xf>
    <xf numFmtId="0" fontId="114" fillId="0" borderId="130" xfId="0" applyFont="1" applyBorder="1" applyAlignment="1">
      <alignment/>
    </xf>
    <xf numFmtId="186" fontId="114" fillId="0" borderId="130" xfId="45" applyNumberFormat="1" applyFont="1" applyBorder="1" applyAlignment="1">
      <alignment/>
    </xf>
    <xf numFmtId="0" fontId="123" fillId="0" borderId="0" xfId="0" applyFont="1" applyFill="1" applyAlignment="1">
      <alignment/>
    </xf>
    <xf numFmtId="177" fontId="123" fillId="0" borderId="0" xfId="42" applyFont="1" applyFill="1" applyAlignment="1">
      <alignment/>
    </xf>
    <xf numFmtId="0" fontId="8" fillId="34" borderId="0" xfId="0" applyFont="1" applyFill="1" applyAlignment="1">
      <alignment/>
    </xf>
    <xf numFmtId="183" fontId="8" fillId="34" borderId="101" xfId="42" applyNumberFormat="1" applyFont="1" applyFill="1" applyBorder="1" applyAlignment="1">
      <alignment horizontal="right" vertical="top" wrapText="1"/>
    </xf>
    <xf numFmtId="177" fontId="8" fillId="34" borderId="0" xfId="42" applyFont="1" applyFill="1" applyAlignment="1">
      <alignment/>
    </xf>
    <xf numFmtId="0" fontId="8" fillId="34" borderId="108" xfId="0" applyFont="1" applyFill="1" applyBorder="1" applyAlignment="1">
      <alignment vertical="top" wrapText="1"/>
    </xf>
    <xf numFmtId="183" fontId="8" fillId="34" borderId="103" xfId="42" applyNumberFormat="1" applyFont="1" applyFill="1" applyBorder="1" applyAlignment="1">
      <alignment vertical="top" wrapText="1"/>
    </xf>
    <xf numFmtId="0" fontId="123" fillId="34" borderId="0" xfId="0" applyFont="1" applyFill="1" applyAlignment="1">
      <alignment/>
    </xf>
    <xf numFmtId="177" fontId="123" fillId="34" borderId="0" xfId="42" applyFont="1" applyFill="1" applyAlignment="1">
      <alignment/>
    </xf>
    <xf numFmtId="0" fontId="8" fillId="34" borderId="48" xfId="0" applyFont="1" applyFill="1" applyBorder="1" applyAlignment="1">
      <alignment vertical="top" wrapText="1"/>
    </xf>
    <xf numFmtId="183" fontId="8" fillId="34" borderId="48" xfId="42" applyNumberFormat="1" applyFont="1" applyFill="1" applyBorder="1" applyAlignment="1">
      <alignment horizontal="center" vertical="top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183" fontId="8" fillId="34" borderId="0" xfId="42" applyNumberFormat="1" applyFont="1" applyFill="1" applyBorder="1" applyAlignment="1">
      <alignment vertical="top" wrapText="1"/>
    </xf>
    <xf numFmtId="0" fontId="8" fillId="34" borderId="95" xfId="0" applyFont="1" applyFill="1" applyBorder="1" applyAlignment="1">
      <alignment horizontal="left" vertical="top" wrapText="1"/>
    </xf>
    <xf numFmtId="0" fontId="8" fillId="34" borderId="95" xfId="0" applyFont="1" applyFill="1" applyBorder="1" applyAlignment="1">
      <alignment/>
    </xf>
    <xf numFmtId="183" fontId="8" fillId="34" borderId="95" xfId="42" applyNumberFormat="1" applyFont="1" applyFill="1" applyBorder="1" applyAlignment="1">
      <alignment horizontal="left" wrapText="1"/>
    </xf>
    <xf numFmtId="183" fontId="8" fillId="34" borderId="95" xfId="42" applyNumberFormat="1" applyFont="1" applyFill="1" applyBorder="1" applyAlignment="1">
      <alignment vertical="top" wrapText="1"/>
    </xf>
    <xf numFmtId="0" fontId="8" fillId="34" borderId="95" xfId="0" applyFont="1" applyFill="1" applyBorder="1" applyAlignment="1">
      <alignment vertical="top" wrapText="1"/>
    </xf>
    <xf numFmtId="183" fontId="8" fillId="34" borderId="95" xfId="42" applyNumberFormat="1" applyFont="1" applyFill="1" applyBorder="1" applyAlignment="1">
      <alignment horizontal="left" vertical="top" wrapText="1"/>
    </xf>
    <xf numFmtId="183" fontId="8" fillId="34" borderId="105" xfId="42" applyNumberFormat="1" applyFont="1" applyFill="1" applyBorder="1" applyAlignment="1">
      <alignment vertical="top" wrapText="1"/>
    </xf>
    <xf numFmtId="0" fontId="8" fillId="34" borderId="46" xfId="0" applyFont="1" applyFill="1" applyBorder="1" applyAlignment="1">
      <alignment vertical="top" wrapText="1"/>
    </xf>
    <xf numFmtId="183" fontId="8" fillId="34" borderId="46" xfId="42" applyNumberFormat="1" applyFont="1" applyFill="1" applyBorder="1" applyAlignment="1">
      <alignment vertical="top" wrapText="1"/>
    </xf>
    <xf numFmtId="0" fontId="8" fillId="34" borderId="103" xfId="0" applyFont="1" applyFill="1" applyBorder="1" applyAlignment="1">
      <alignment vertical="top" wrapText="1"/>
    </xf>
    <xf numFmtId="0" fontId="8" fillId="34" borderId="101" xfId="0" applyFont="1" applyFill="1" applyBorder="1" applyAlignment="1">
      <alignment/>
    </xf>
    <xf numFmtId="183" fontId="8" fillId="34" borderId="101" xfId="42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83" fontId="8" fillId="34" borderId="0" xfId="42" applyNumberFormat="1" applyFont="1" applyFill="1" applyBorder="1" applyAlignment="1">
      <alignment/>
    </xf>
    <xf numFmtId="0" fontId="8" fillId="34" borderId="101" xfId="0" applyFont="1" applyFill="1" applyBorder="1" applyAlignment="1">
      <alignment horizontal="left" vertical="top" wrapText="1"/>
    </xf>
    <xf numFmtId="0" fontId="8" fillId="34" borderId="113" xfId="0" applyFont="1" applyFill="1" applyBorder="1" applyAlignment="1">
      <alignment vertical="top"/>
    </xf>
    <xf numFmtId="0" fontId="8" fillId="34" borderId="113" xfId="0" applyFont="1" applyFill="1" applyBorder="1" applyAlignment="1">
      <alignment vertical="top" wrapText="1"/>
    </xf>
    <xf numFmtId="183" fontId="8" fillId="34" borderId="113" xfId="42" applyNumberFormat="1" applyFont="1" applyFill="1" applyBorder="1" applyAlignment="1">
      <alignment vertical="top"/>
    </xf>
    <xf numFmtId="183" fontId="8" fillId="34" borderId="95" xfId="42" applyNumberFormat="1" applyFont="1" applyFill="1" applyBorder="1" applyAlignment="1">
      <alignment horizontal="center" vertical="top" wrapText="1"/>
    </xf>
    <xf numFmtId="0" fontId="8" fillId="34" borderId="101" xfId="0" applyFont="1" applyFill="1" applyBorder="1" applyAlignment="1">
      <alignment wrapText="1"/>
    </xf>
    <xf numFmtId="183" fontId="8" fillId="34" borderId="101" xfId="42" applyNumberFormat="1" applyFont="1" applyFill="1" applyBorder="1" applyAlignment="1">
      <alignment horizontal="right"/>
    </xf>
    <xf numFmtId="0" fontId="8" fillId="34" borderId="0" xfId="0" applyFont="1" applyFill="1" applyAlignment="1">
      <alignment vertical="center"/>
    </xf>
    <xf numFmtId="177" fontId="8" fillId="34" borderId="0" xfId="42" applyFont="1" applyFill="1" applyAlignment="1">
      <alignment vertical="center"/>
    </xf>
    <xf numFmtId="183" fontId="8" fillId="34" borderId="46" xfId="42" applyNumberFormat="1" applyFont="1" applyFill="1" applyBorder="1" applyAlignment="1">
      <alignment/>
    </xf>
    <xf numFmtId="183" fontId="8" fillId="34" borderId="113" xfId="42" applyNumberFormat="1" applyFont="1" applyFill="1" applyBorder="1" applyAlignment="1">
      <alignment vertical="top" wrapText="1"/>
    </xf>
    <xf numFmtId="0" fontId="8" fillId="34" borderId="101" xfId="0" applyFont="1" applyFill="1" applyBorder="1" applyAlignment="1">
      <alignment horizontal="left" vertical="top"/>
    </xf>
    <xf numFmtId="0" fontId="8" fillId="34" borderId="101" xfId="0" applyFont="1" applyFill="1" applyBorder="1" applyAlignment="1">
      <alignment vertical="center" wrapText="1"/>
    </xf>
    <xf numFmtId="0" fontId="8" fillId="34" borderId="101" xfId="0" applyFont="1" applyFill="1" applyBorder="1" applyAlignment="1">
      <alignment horizontal="left" vertical="center" wrapText="1"/>
    </xf>
    <xf numFmtId="183" fontId="8" fillId="34" borderId="101" xfId="42" applyNumberFormat="1" applyFont="1" applyFill="1" applyBorder="1" applyAlignment="1">
      <alignment horizontal="center" vertical="center" wrapText="1"/>
    </xf>
    <xf numFmtId="183" fontId="8" fillId="34" borderId="101" xfId="42" applyNumberFormat="1" applyFont="1" applyFill="1" applyBorder="1" applyAlignment="1">
      <alignment horizontal="left" vertical="top"/>
    </xf>
    <xf numFmtId="0" fontId="8" fillId="34" borderId="114" xfId="0" applyFont="1" applyFill="1" applyBorder="1" applyAlignment="1">
      <alignment vertical="center" wrapText="1"/>
    </xf>
    <xf numFmtId="0" fontId="8" fillId="34" borderId="101" xfId="0" applyFont="1" applyFill="1" applyBorder="1" applyAlignment="1">
      <alignment vertical="top" wrapText="1"/>
    </xf>
    <xf numFmtId="0" fontId="8" fillId="34" borderId="101" xfId="0" applyFont="1" applyFill="1" applyBorder="1" applyAlignment="1">
      <alignment vertical="top"/>
    </xf>
    <xf numFmtId="183" fontId="8" fillId="34" borderId="101" xfId="42" applyNumberFormat="1" applyFont="1" applyFill="1" applyBorder="1" applyAlignment="1">
      <alignment vertical="top"/>
    </xf>
    <xf numFmtId="0" fontId="99" fillId="34" borderId="131" xfId="0" applyFont="1" applyFill="1" applyBorder="1" applyAlignment="1">
      <alignment vertical="top" wrapText="1"/>
    </xf>
    <xf numFmtId="0" fontId="8" fillId="34" borderId="0" xfId="0" applyFont="1" applyFill="1" applyAlignment="1">
      <alignment wrapText="1"/>
    </xf>
    <xf numFmtId="0" fontId="111" fillId="34" borderId="107" xfId="0" applyFont="1" applyFill="1" applyBorder="1" applyAlignment="1">
      <alignment/>
    </xf>
    <xf numFmtId="0" fontId="111" fillId="0" borderId="106" xfId="0" applyFont="1" applyBorder="1" applyAlignment="1">
      <alignment/>
    </xf>
    <xf numFmtId="0" fontId="111" fillId="0" borderId="110" xfId="0" applyFont="1" applyBorder="1" applyAlignment="1">
      <alignment/>
    </xf>
    <xf numFmtId="0" fontId="8" fillId="34" borderId="46" xfId="0" applyFont="1" applyFill="1" applyBorder="1" applyAlignment="1">
      <alignment/>
    </xf>
    <xf numFmtId="0" fontId="111" fillId="0" borderId="101" xfId="0" applyFont="1" applyBorder="1" applyAlignment="1">
      <alignment vertical="top"/>
    </xf>
    <xf numFmtId="0" fontId="9" fillId="0" borderId="59" xfId="0" applyFont="1" applyFill="1" applyBorder="1" applyAlignment="1">
      <alignment horizontal="right" vertical="top" wrapText="1"/>
    </xf>
    <xf numFmtId="0" fontId="8" fillId="0" borderId="59" xfId="0" applyFont="1" applyFill="1" applyBorder="1" applyAlignment="1">
      <alignment vertical="top" wrapText="1"/>
    </xf>
    <xf numFmtId="183" fontId="9" fillId="0" borderId="132" xfId="42" applyNumberFormat="1" applyFont="1" applyFill="1" applyBorder="1" applyAlignment="1">
      <alignment vertical="top" wrapText="1"/>
    </xf>
    <xf numFmtId="0" fontId="8" fillId="34" borderId="115" xfId="0" applyFont="1" applyFill="1" applyBorder="1" applyAlignment="1">
      <alignment/>
    </xf>
    <xf numFmtId="0" fontId="8" fillId="34" borderId="115" xfId="0" applyFont="1" applyFill="1" applyBorder="1" applyAlignment="1">
      <alignment vertical="top" wrapText="1"/>
    </xf>
    <xf numFmtId="183" fontId="8" fillId="34" borderId="115" xfId="42" applyNumberFormat="1" applyFont="1" applyFill="1" applyBorder="1" applyAlignment="1">
      <alignment vertical="top" wrapText="1"/>
    </xf>
    <xf numFmtId="0" fontId="8" fillId="34" borderId="115" xfId="0" applyFont="1" applyFill="1" applyBorder="1" applyAlignment="1">
      <alignment horizontal="left" vertical="top" wrapText="1"/>
    </xf>
    <xf numFmtId="0" fontId="99" fillId="0" borderId="115" xfId="0" applyFont="1" applyBorder="1" applyAlignment="1">
      <alignment vertical="top"/>
    </xf>
    <xf numFmtId="0" fontId="8" fillId="0" borderId="115" xfId="0" applyFont="1" applyBorder="1" applyAlignment="1">
      <alignment vertical="top" wrapText="1"/>
    </xf>
    <xf numFmtId="0" fontId="8" fillId="0" borderId="115" xfId="0" applyFont="1" applyFill="1" applyBorder="1" applyAlignment="1">
      <alignment vertical="top" wrapText="1"/>
    </xf>
    <xf numFmtId="183" fontId="8" fillId="0" borderId="115" xfId="42" applyNumberFormat="1" applyFont="1" applyFill="1" applyBorder="1" applyAlignment="1">
      <alignment vertical="top" wrapText="1"/>
    </xf>
    <xf numFmtId="0" fontId="8" fillId="0" borderId="46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left" vertical="center" wrapText="1"/>
    </xf>
    <xf numFmtId="183" fontId="8" fillId="0" borderId="46" xfId="42" applyNumberFormat="1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vertical="center" wrapText="1"/>
    </xf>
    <xf numFmtId="183" fontId="8" fillId="34" borderId="46" xfId="42" applyNumberFormat="1" applyFont="1" applyFill="1" applyBorder="1" applyAlignment="1">
      <alignment horizontal="center" vertical="center" wrapText="1"/>
    </xf>
    <xf numFmtId="0" fontId="99" fillId="0" borderId="103" xfId="0" applyFont="1" applyBorder="1" applyAlignment="1">
      <alignment/>
    </xf>
    <xf numFmtId="0" fontId="99" fillId="0" borderId="110" xfId="0" applyFont="1" applyFill="1" applyBorder="1" applyAlignment="1">
      <alignment horizontal="left" vertical="top" wrapText="1"/>
    </xf>
    <xf numFmtId="0" fontId="99" fillId="0" borderId="110" xfId="0" applyFont="1" applyFill="1" applyBorder="1" applyAlignment="1">
      <alignment horizontal="left" vertical="top"/>
    </xf>
    <xf numFmtId="183" fontId="99" fillId="0" borderId="110" xfId="42" applyNumberFormat="1" applyFont="1" applyFill="1" applyBorder="1" applyAlignment="1">
      <alignment/>
    </xf>
    <xf numFmtId="0" fontId="99" fillId="34" borderId="101" xfId="0" applyFont="1" applyFill="1" applyBorder="1" applyAlignment="1">
      <alignment/>
    </xf>
    <xf numFmtId="183" fontId="8" fillId="34" borderId="101" xfId="42" applyNumberFormat="1" applyFont="1" applyFill="1" applyBorder="1" applyAlignment="1">
      <alignment vertical="top" wrapText="1"/>
    </xf>
    <xf numFmtId="0" fontId="99" fillId="0" borderId="101" xfId="0" applyFont="1" applyFill="1" applyBorder="1" applyAlignment="1">
      <alignment vertical="top"/>
    </xf>
    <xf numFmtId="0" fontId="124" fillId="0" borderId="133" xfId="0" applyFont="1" applyBorder="1" applyAlignment="1">
      <alignment/>
    </xf>
    <xf numFmtId="0" fontId="124" fillId="0" borderId="134" xfId="0" applyFont="1" applyBorder="1" applyAlignment="1">
      <alignment/>
    </xf>
    <xf numFmtId="0" fontId="125" fillId="0" borderId="133" xfId="0" applyFont="1" applyBorder="1" applyAlignment="1">
      <alignment horizontal="center"/>
    </xf>
    <xf numFmtId="0" fontId="125" fillId="0" borderId="134" xfId="0" applyFont="1" applyBorder="1" applyAlignment="1">
      <alignment/>
    </xf>
    <xf numFmtId="3" fontId="125" fillId="0" borderId="134" xfId="0" applyNumberFormat="1" applyFont="1" applyBorder="1" applyAlignment="1">
      <alignment/>
    </xf>
    <xf numFmtId="3" fontId="124" fillId="0" borderId="134" xfId="0" applyNumberFormat="1" applyFont="1" applyBorder="1" applyAlignment="1">
      <alignment/>
    </xf>
    <xf numFmtId="9" fontId="116" fillId="0" borderId="134" xfId="0" applyNumberFormat="1" applyFont="1" applyBorder="1" applyAlignment="1">
      <alignment horizontal="right"/>
    </xf>
    <xf numFmtId="177" fontId="0" fillId="0" borderId="0" xfId="42" applyFont="1" applyAlignment="1">
      <alignment/>
    </xf>
    <xf numFmtId="0" fontId="124" fillId="0" borderId="135" xfId="0" applyFont="1" applyBorder="1" applyAlignment="1">
      <alignment/>
    </xf>
    <xf numFmtId="3" fontId="125" fillId="0" borderId="135" xfId="0" applyNumberFormat="1" applyFont="1" applyBorder="1" applyAlignment="1">
      <alignment/>
    </xf>
    <xf numFmtId="3" fontId="124" fillId="0" borderId="135" xfId="0" applyNumberFormat="1" applyFont="1" applyBorder="1" applyAlignment="1">
      <alignment/>
    </xf>
    <xf numFmtId="9" fontId="116" fillId="0" borderId="135" xfId="0" applyNumberFormat="1" applyFont="1" applyBorder="1" applyAlignment="1">
      <alignment horizontal="right"/>
    </xf>
    <xf numFmtId="177" fontId="0" fillId="0" borderId="37" xfId="42" applyFont="1" applyBorder="1" applyAlignment="1">
      <alignment/>
    </xf>
    <xf numFmtId="177" fontId="124" fillId="0" borderId="37" xfId="42" applyFont="1" applyBorder="1" applyAlignment="1">
      <alignment/>
    </xf>
    <xf numFmtId="177" fontId="112" fillId="0" borderId="37" xfId="42" applyFont="1" applyBorder="1" applyAlignment="1">
      <alignment/>
    </xf>
    <xf numFmtId="177" fontId="126" fillId="0" borderId="37" xfId="42" applyFont="1" applyBorder="1" applyAlignment="1">
      <alignment/>
    </xf>
    <xf numFmtId="0" fontId="85" fillId="0" borderId="27" xfId="0" applyFont="1" applyBorder="1" applyAlignment="1">
      <alignment horizontal="center"/>
    </xf>
    <xf numFmtId="0" fontId="85" fillId="0" borderId="136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85" fillId="0" borderId="89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 wrapText="1"/>
    </xf>
    <xf numFmtId="0" fontId="84" fillId="0" borderId="53" xfId="0" applyFont="1" applyBorder="1" applyAlignment="1">
      <alignment horizontal="center" vertical="center" wrapText="1"/>
    </xf>
    <xf numFmtId="0" fontId="84" fillId="0" borderId="59" xfId="0" applyFont="1" applyBorder="1" applyAlignment="1">
      <alignment horizontal="center" vertical="center" wrapText="1"/>
    </xf>
    <xf numFmtId="0" fontId="84" fillId="0" borderId="60" xfId="0" applyFont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91" fillId="0" borderId="130" xfId="0" applyFont="1" applyBorder="1" applyAlignment="1">
      <alignment horizontal="center"/>
    </xf>
    <xf numFmtId="0" fontId="84" fillId="0" borderId="60" xfId="0" applyFont="1" applyBorder="1" applyAlignment="1">
      <alignment horizontal="center" vertical="center"/>
    </xf>
    <xf numFmtId="0" fontId="84" fillId="0" borderId="53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84" fillId="0" borderId="137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38" xfId="0" applyFont="1" applyBorder="1" applyAlignment="1">
      <alignment horizontal="center" vertical="center" wrapText="1"/>
    </xf>
    <xf numFmtId="0" fontId="84" fillId="0" borderId="54" xfId="0" applyFont="1" applyBorder="1" applyAlignment="1">
      <alignment horizontal="center" vertical="center" wrapText="1"/>
    </xf>
    <xf numFmtId="0" fontId="84" fillId="0" borderId="139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/>
    </xf>
    <xf numFmtId="0" fontId="85" fillId="0" borderId="59" xfId="0" applyFont="1" applyBorder="1" applyAlignment="1">
      <alignment horizontal="center" vertical="center" wrapText="1"/>
    </xf>
    <xf numFmtId="0" fontId="85" fillId="0" borderId="14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5" fillId="0" borderId="12" xfId="0" applyFont="1" applyBorder="1" applyAlignment="1">
      <alignment horizontal="left" vertical="center"/>
    </xf>
    <xf numFmtId="0" fontId="85" fillId="0" borderId="28" xfId="0" applyFont="1" applyBorder="1" applyAlignment="1">
      <alignment horizontal="left" vertical="center"/>
    </xf>
    <xf numFmtId="0" fontId="85" fillId="0" borderId="18" xfId="0" applyFont="1" applyBorder="1" applyAlignment="1">
      <alignment horizontal="left" vertical="center"/>
    </xf>
    <xf numFmtId="0" fontId="85" fillId="0" borderId="12" xfId="0" applyFont="1" applyBorder="1" applyAlignment="1">
      <alignment horizontal="center" vertical="top" wrapText="1"/>
    </xf>
    <xf numFmtId="0" fontId="85" fillId="0" borderId="18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left" vertical="top"/>
    </xf>
    <xf numFmtId="0" fontId="84" fillId="0" borderId="18" xfId="0" applyFont="1" applyBorder="1" applyAlignment="1">
      <alignment horizontal="left" vertical="top"/>
    </xf>
    <xf numFmtId="0" fontId="85" fillId="0" borderId="28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left" vertical="center" wrapText="1"/>
    </xf>
    <xf numFmtId="0" fontId="85" fillId="0" borderId="28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left" vertical="center" wrapText="1"/>
    </xf>
    <xf numFmtId="0" fontId="85" fillId="0" borderId="79" xfId="0" applyFont="1" applyBorder="1" applyAlignment="1">
      <alignment horizontal="left" vertical="top" wrapText="1"/>
    </xf>
    <xf numFmtId="0" fontId="85" fillId="0" borderId="86" xfId="0" applyFont="1" applyBorder="1" applyAlignment="1">
      <alignment horizontal="left" vertical="top" wrapText="1"/>
    </xf>
    <xf numFmtId="0" fontId="84" fillId="0" borderId="12" xfId="0" applyFont="1" applyBorder="1" applyAlignment="1">
      <alignment horizontal="center" vertical="top"/>
    </xf>
    <xf numFmtId="0" fontId="84" fillId="0" borderId="18" xfId="0" applyFont="1" applyBorder="1" applyAlignment="1">
      <alignment horizontal="center" vertical="top"/>
    </xf>
    <xf numFmtId="0" fontId="85" fillId="0" borderId="12" xfId="0" applyFont="1" applyBorder="1" applyAlignment="1">
      <alignment horizontal="left" vertical="top" wrapText="1"/>
    </xf>
    <xf numFmtId="0" fontId="8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5" fillId="0" borderId="141" xfId="0" applyFont="1" applyBorder="1" applyAlignment="1">
      <alignment horizontal="center" vertical="center" wrapText="1"/>
    </xf>
    <xf numFmtId="0" fontId="85" fillId="0" borderId="83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/>
    </xf>
    <xf numFmtId="0" fontId="85" fillId="0" borderId="141" xfId="0" applyFont="1" applyBorder="1" applyAlignment="1">
      <alignment horizontal="center" vertical="top" wrapText="1"/>
    </xf>
    <xf numFmtId="0" fontId="85" fillId="0" borderId="26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center"/>
    </xf>
    <xf numFmtId="0" fontId="91" fillId="0" borderId="0" xfId="0" applyFont="1" applyAlignment="1">
      <alignment horizontal="left"/>
    </xf>
    <xf numFmtId="0" fontId="91" fillId="0" borderId="0" xfId="0" applyFont="1" applyAlignment="1">
      <alignment horizontal="left" vertical="center"/>
    </xf>
    <xf numFmtId="0" fontId="84" fillId="0" borderId="142" xfId="0" applyFont="1" applyBorder="1" applyAlignment="1">
      <alignment horizontal="center" vertical="center" wrapText="1"/>
    </xf>
    <xf numFmtId="0" fontId="93" fillId="0" borderId="60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2" fillId="0" borderId="130" xfId="0" applyFont="1" applyBorder="1" applyAlignment="1">
      <alignment horizontal="center"/>
    </xf>
    <xf numFmtId="0" fontId="90" fillId="0" borderId="142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59" xfId="0" applyFont="1" applyBorder="1" applyAlignment="1">
      <alignment horizontal="center" vertical="center" wrapText="1"/>
    </xf>
    <xf numFmtId="0" fontId="93" fillId="0" borderId="59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177" fontId="90" fillId="0" borderId="54" xfId="42" applyFont="1" applyBorder="1" applyAlignment="1">
      <alignment horizontal="center" vertical="center" wrapText="1"/>
    </xf>
    <xf numFmtId="177" fontId="90" fillId="0" borderId="139" xfId="42" applyFont="1" applyBorder="1" applyAlignment="1">
      <alignment horizontal="center" vertical="center" wrapText="1"/>
    </xf>
    <xf numFmtId="177" fontId="93" fillId="0" borderId="53" xfId="42" applyFont="1" applyBorder="1" applyAlignment="1">
      <alignment horizontal="center" vertical="center" wrapText="1"/>
    </xf>
    <xf numFmtId="177" fontId="93" fillId="0" borderId="59" xfId="42" applyFont="1" applyBorder="1" applyAlignment="1">
      <alignment horizontal="center" vertical="center" wrapText="1"/>
    </xf>
    <xf numFmtId="177" fontId="90" fillId="0" borderId="142" xfId="42" applyFont="1" applyBorder="1" applyAlignment="1">
      <alignment horizontal="center" vertical="center" wrapText="1"/>
    </xf>
    <xf numFmtId="177" fontId="93" fillId="0" borderId="60" xfId="42" applyFont="1" applyBorder="1" applyAlignment="1">
      <alignment horizontal="center" vertical="center" wrapText="1"/>
    </xf>
    <xf numFmtId="177" fontId="92" fillId="0" borderId="0" xfId="42" applyFont="1" applyAlignment="1">
      <alignment horizontal="center"/>
    </xf>
    <xf numFmtId="177" fontId="93" fillId="0" borderId="0" xfId="42" applyFont="1" applyAlignment="1">
      <alignment horizontal="center"/>
    </xf>
    <xf numFmtId="177" fontId="92" fillId="0" borderId="130" xfId="42" applyFont="1" applyBorder="1" applyAlignment="1">
      <alignment horizontal="center"/>
    </xf>
    <xf numFmtId="177" fontId="90" fillId="0" borderId="47" xfId="42" applyFont="1" applyBorder="1" applyAlignment="1">
      <alignment horizontal="center" vertical="center" wrapText="1"/>
    </xf>
    <xf numFmtId="177" fontId="90" fillId="0" borderId="53" xfId="42" applyFont="1" applyBorder="1" applyAlignment="1">
      <alignment horizontal="center" vertical="center" wrapText="1"/>
    </xf>
    <xf numFmtId="177" fontId="90" fillId="0" borderId="59" xfId="42" applyFont="1" applyBorder="1" applyAlignment="1">
      <alignment horizontal="center" vertical="center" wrapText="1"/>
    </xf>
    <xf numFmtId="177" fontId="93" fillId="0" borderId="47" xfId="42" applyFont="1" applyBorder="1" applyAlignment="1">
      <alignment horizontal="center" vertical="center" wrapText="1"/>
    </xf>
    <xf numFmtId="0" fontId="84" fillId="0" borderId="53" xfId="0" applyFont="1" applyBorder="1" applyAlignment="1">
      <alignment horizontal="center" vertical="top" wrapText="1"/>
    </xf>
    <xf numFmtId="0" fontId="84" fillId="0" borderId="59" xfId="0" applyFont="1" applyBorder="1" applyAlignment="1">
      <alignment horizontal="center" vertical="top" wrapText="1"/>
    </xf>
    <xf numFmtId="0" fontId="91" fillId="0" borderId="143" xfId="0" applyFont="1" applyBorder="1" applyAlignment="1">
      <alignment horizontal="center"/>
    </xf>
    <xf numFmtId="0" fontId="91" fillId="0" borderId="144" xfId="0" applyFont="1" applyBorder="1" applyAlignment="1">
      <alignment horizontal="center"/>
    </xf>
    <xf numFmtId="0" fontId="91" fillId="0" borderId="145" xfId="0" applyFont="1" applyBorder="1" applyAlignment="1">
      <alignment horizontal="center"/>
    </xf>
    <xf numFmtId="0" fontId="91" fillId="0" borderId="146" xfId="0" applyFont="1" applyBorder="1" applyAlignment="1">
      <alignment horizontal="center"/>
    </xf>
    <xf numFmtId="0" fontId="91" fillId="0" borderId="147" xfId="0" applyFont="1" applyBorder="1" applyAlignment="1">
      <alignment horizontal="center"/>
    </xf>
    <xf numFmtId="0" fontId="84" fillId="0" borderId="148" xfId="0" applyFont="1" applyBorder="1" applyAlignment="1">
      <alignment horizontal="center" vertical="center" wrapText="1"/>
    </xf>
    <xf numFmtId="0" fontId="84" fillId="0" borderId="149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top" wrapText="1"/>
    </xf>
    <xf numFmtId="0" fontId="85" fillId="0" borderId="59" xfId="0" applyFont="1" applyBorder="1" applyAlignment="1">
      <alignment horizontal="center" vertical="top" wrapText="1"/>
    </xf>
    <xf numFmtId="0" fontId="90" fillId="0" borderId="139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/>
    </xf>
    <xf numFmtId="0" fontId="90" fillId="0" borderId="59" xfId="0" applyFont="1" applyBorder="1" applyAlignment="1">
      <alignment horizontal="center" vertical="center"/>
    </xf>
    <xf numFmtId="0" fontId="93" fillId="0" borderId="48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/>
    </xf>
    <xf numFmtId="0" fontId="84" fillId="0" borderId="150" xfId="0" applyFont="1" applyBorder="1" applyAlignment="1">
      <alignment horizontal="center" vertical="center" wrapText="1"/>
    </xf>
    <xf numFmtId="0" fontId="90" fillId="0" borderId="151" xfId="0" applyFont="1" applyBorder="1" applyAlignment="1">
      <alignment horizontal="center" vertical="center" wrapText="1"/>
    </xf>
    <xf numFmtId="0" fontId="90" fillId="0" borderId="152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62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0" fontId="93" fillId="0" borderId="63" xfId="0" applyFont="1" applyBorder="1" applyAlignment="1">
      <alignment horizontal="center" vertical="center" wrapText="1"/>
    </xf>
    <xf numFmtId="0" fontId="93" fillId="0" borderId="55" xfId="0" applyFont="1" applyBorder="1" applyAlignment="1">
      <alignment horizontal="center" vertical="center" wrapText="1"/>
    </xf>
    <xf numFmtId="0" fontId="90" fillId="0" borderId="148" xfId="0" applyFont="1" applyBorder="1" applyAlignment="1">
      <alignment horizontal="center" vertical="center" wrapText="1"/>
    </xf>
    <xf numFmtId="0" fontId="90" fillId="0" borderId="149" xfId="0" applyFont="1" applyBorder="1" applyAlignment="1">
      <alignment horizontal="center" vertical="center" wrapText="1"/>
    </xf>
    <xf numFmtId="0" fontId="90" fillId="0" borderId="1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90" fillId="0" borderId="142" xfId="0" applyFont="1" applyBorder="1" applyAlignment="1">
      <alignment horizontal="center" vertical="center"/>
    </xf>
    <xf numFmtId="0" fontId="90" fillId="0" borderId="54" xfId="0" applyFont="1" applyBorder="1" applyAlignment="1">
      <alignment horizontal="center" vertical="center"/>
    </xf>
    <xf numFmtId="0" fontId="90" fillId="0" borderId="139" xfId="0" applyFont="1" applyBorder="1" applyAlignment="1">
      <alignment horizontal="center" vertical="center"/>
    </xf>
    <xf numFmtId="0" fontId="93" fillId="0" borderId="154" xfId="0" applyFont="1" applyBorder="1" applyAlignment="1">
      <alignment horizontal="center" vertical="center" wrapText="1"/>
    </xf>
    <xf numFmtId="0" fontId="93" fillId="0" borderId="155" xfId="0" applyFont="1" applyBorder="1" applyAlignment="1">
      <alignment horizontal="center" vertical="center" wrapText="1"/>
    </xf>
    <xf numFmtId="0" fontId="93" fillId="0" borderId="152" xfId="0" applyFont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152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top" wrapText="1"/>
    </xf>
    <xf numFmtId="0" fontId="9" fillId="0" borderId="99" xfId="0" applyFont="1" applyFill="1" applyBorder="1" applyAlignment="1">
      <alignment horizontal="center" vertical="top" wrapText="1"/>
    </xf>
    <xf numFmtId="0" fontId="9" fillId="0" borderId="156" xfId="0" applyFont="1" applyFill="1" applyBorder="1" applyAlignment="1">
      <alignment horizontal="center" vertical="top" wrapText="1"/>
    </xf>
    <xf numFmtId="0" fontId="9" fillId="0" borderId="157" xfId="0" applyFont="1" applyFill="1" applyBorder="1" applyAlignment="1">
      <alignment horizontal="center" vertical="top" wrapText="1"/>
    </xf>
    <xf numFmtId="0" fontId="9" fillId="0" borderId="92" xfId="0" applyFont="1" applyFill="1" applyBorder="1" applyAlignment="1">
      <alignment horizontal="center" vertical="top" wrapText="1"/>
    </xf>
    <xf numFmtId="0" fontId="9" fillId="0" borderId="158" xfId="0" applyFont="1" applyFill="1" applyBorder="1" applyAlignment="1">
      <alignment horizontal="center" vertical="top" wrapText="1"/>
    </xf>
    <xf numFmtId="0" fontId="9" fillId="0" borderId="159" xfId="0" applyFont="1" applyFill="1" applyBorder="1" applyAlignment="1">
      <alignment horizontal="center" vertical="top" wrapText="1"/>
    </xf>
    <xf numFmtId="0" fontId="9" fillId="0" borderId="160" xfId="0" applyFont="1" applyFill="1" applyBorder="1" applyAlignment="1">
      <alignment horizontal="center" vertical="top" wrapText="1"/>
    </xf>
    <xf numFmtId="0" fontId="9" fillId="0" borderId="161" xfId="0" applyFont="1" applyFill="1" applyBorder="1" applyAlignment="1">
      <alignment horizontal="center" vertical="top" wrapText="1"/>
    </xf>
    <xf numFmtId="0" fontId="9" fillId="0" borderId="162" xfId="0" applyFont="1" applyFill="1" applyBorder="1" applyAlignment="1">
      <alignment horizontal="center" vertical="center" wrapText="1"/>
    </xf>
    <xf numFmtId="0" fontId="9" fillId="0" borderId="163" xfId="0" applyFont="1" applyFill="1" applyBorder="1" applyAlignment="1">
      <alignment horizontal="center" vertical="center" wrapText="1"/>
    </xf>
    <xf numFmtId="0" fontId="9" fillId="0" borderId="164" xfId="0" applyFont="1" applyFill="1" applyBorder="1" applyAlignment="1">
      <alignment horizontal="center" vertical="center" wrapText="1"/>
    </xf>
    <xf numFmtId="0" fontId="9" fillId="0" borderId="16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52" xfId="0" applyFont="1" applyFill="1" applyBorder="1" applyAlignment="1">
      <alignment horizontal="center" vertical="center" wrapText="1"/>
    </xf>
    <xf numFmtId="0" fontId="9" fillId="0" borderId="166" xfId="0" applyFont="1" applyFill="1" applyBorder="1" applyAlignment="1">
      <alignment horizontal="center" vertical="top" wrapText="1"/>
    </xf>
    <xf numFmtId="0" fontId="9" fillId="0" borderId="167" xfId="0" applyFont="1" applyFill="1" applyBorder="1" applyAlignment="1">
      <alignment horizontal="center" vertical="top" wrapText="1"/>
    </xf>
    <xf numFmtId="0" fontId="9" fillId="0" borderId="168" xfId="0" applyFont="1" applyFill="1" applyBorder="1" applyAlignment="1">
      <alignment horizontal="center" vertical="top" wrapText="1"/>
    </xf>
    <xf numFmtId="0" fontId="9" fillId="0" borderId="169" xfId="0" applyFont="1" applyFill="1" applyBorder="1" applyAlignment="1">
      <alignment horizontal="center" vertical="top" wrapText="1"/>
    </xf>
    <xf numFmtId="0" fontId="9" fillId="0" borderId="151" xfId="0" applyFont="1" applyFill="1" applyBorder="1" applyAlignment="1">
      <alignment horizontal="center" vertical="center" wrapText="1"/>
    </xf>
    <xf numFmtId="0" fontId="9" fillId="12" borderId="68" xfId="0" applyFont="1" applyFill="1" applyBorder="1" applyAlignment="1">
      <alignment horizontal="center" vertical="top" wrapText="1"/>
    </xf>
    <xf numFmtId="0" fontId="9" fillId="12" borderId="169" xfId="0" applyFont="1" applyFill="1" applyBorder="1" applyAlignment="1">
      <alignment horizontal="center" vertical="top" wrapText="1"/>
    </xf>
    <xf numFmtId="0" fontId="9" fillId="0" borderId="170" xfId="0" applyFont="1" applyFill="1" applyBorder="1" applyAlignment="1">
      <alignment horizontal="center"/>
    </xf>
    <xf numFmtId="0" fontId="9" fillId="0" borderId="171" xfId="0" applyFont="1" applyFill="1" applyBorder="1" applyAlignment="1">
      <alignment horizontal="center"/>
    </xf>
    <xf numFmtId="0" fontId="9" fillId="0" borderId="172" xfId="0" applyFont="1" applyFill="1" applyBorder="1" applyAlignment="1">
      <alignment horizontal="center"/>
    </xf>
    <xf numFmtId="0" fontId="9" fillId="0" borderId="1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12" borderId="68" xfId="0" applyFont="1" applyFill="1" applyBorder="1" applyAlignment="1">
      <alignment horizontal="center" vertical="center" wrapText="1"/>
    </xf>
    <xf numFmtId="0" fontId="9" fillId="12" borderId="169" xfId="0" applyFont="1" applyFill="1" applyBorder="1" applyAlignment="1">
      <alignment horizontal="center" vertical="center" wrapText="1"/>
    </xf>
    <xf numFmtId="0" fontId="9" fillId="12" borderId="6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9" fillId="0" borderId="152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" vertical="top" wrapText="1"/>
    </xf>
    <xf numFmtId="0" fontId="9" fillId="0" borderId="139" xfId="0" applyFont="1" applyFill="1" applyBorder="1" applyAlignment="1">
      <alignment horizontal="center" vertical="top" wrapText="1"/>
    </xf>
    <xf numFmtId="0" fontId="9" fillId="0" borderId="68" xfId="0" applyFont="1" applyFill="1" applyBorder="1" applyAlignment="1">
      <alignment horizontal="center" vertical="top" wrapText="1"/>
    </xf>
    <xf numFmtId="0" fontId="13" fillId="6" borderId="122" xfId="0" applyFont="1" applyFill="1" applyBorder="1" applyAlignment="1">
      <alignment horizontal="center"/>
    </xf>
    <xf numFmtId="0" fontId="9" fillId="10" borderId="122" xfId="0" applyFont="1" applyFill="1" applyBorder="1" applyAlignment="1">
      <alignment horizontal="center"/>
    </xf>
    <xf numFmtId="0" fontId="9" fillId="12" borderId="66" xfId="0" applyFont="1" applyFill="1" applyBorder="1" applyAlignment="1">
      <alignment horizontal="center" vertical="top" wrapText="1"/>
    </xf>
    <xf numFmtId="0" fontId="9" fillId="12" borderId="8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0" fontId="9" fillId="12" borderId="89" xfId="0" applyFont="1" applyFill="1" applyBorder="1" applyAlignment="1">
      <alignment horizontal="center" vertical="top" wrapText="1"/>
    </xf>
    <xf numFmtId="0" fontId="9" fillId="0" borderId="6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9" fillId="0" borderId="173" xfId="0" applyFont="1" applyFill="1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 wrapText="1"/>
    </xf>
    <xf numFmtId="0" fontId="9" fillId="0" borderId="175" xfId="0" applyFont="1" applyFill="1" applyBorder="1" applyAlignment="1">
      <alignment horizontal="center" vertical="center" wrapText="1"/>
    </xf>
    <xf numFmtId="46" fontId="9" fillId="12" borderId="169" xfId="0" applyNumberFormat="1" applyFont="1" applyFill="1" applyBorder="1" applyAlignment="1">
      <alignment horizontal="center" vertical="center" wrapText="1"/>
    </xf>
    <xf numFmtId="0" fontId="9" fillId="12" borderId="151" xfId="0" applyFont="1" applyFill="1" applyBorder="1" applyAlignment="1">
      <alignment horizontal="center" vertical="top" wrapText="1"/>
    </xf>
    <xf numFmtId="0" fontId="9" fillId="12" borderId="150" xfId="0" applyFont="1" applyFill="1" applyBorder="1" applyAlignment="1">
      <alignment horizontal="center" vertical="top" wrapText="1"/>
    </xf>
    <xf numFmtId="0" fontId="9" fillId="0" borderId="176" xfId="0" applyFont="1" applyFill="1" applyBorder="1" applyAlignment="1">
      <alignment horizontal="center" vertical="center" wrapText="1"/>
    </xf>
    <xf numFmtId="0" fontId="9" fillId="0" borderId="177" xfId="0" applyFont="1" applyFill="1" applyBorder="1" applyAlignment="1">
      <alignment horizontal="center" vertical="top" wrapText="1"/>
    </xf>
    <xf numFmtId="0" fontId="9" fillId="0" borderId="178" xfId="0" applyFont="1" applyFill="1" applyBorder="1" applyAlignment="1">
      <alignment horizontal="center" vertical="top" wrapText="1"/>
    </xf>
    <xf numFmtId="0" fontId="9" fillId="0" borderId="179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180" xfId="0" applyFont="1" applyFill="1" applyBorder="1" applyAlignment="1">
      <alignment horizontal="center" vertical="top" wrapText="1"/>
    </xf>
    <xf numFmtId="0" fontId="9" fillId="0" borderId="181" xfId="0" applyFont="1" applyFill="1" applyBorder="1" applyAlignment="1">
      <alignment horizontal="center" vertical="top" wrapText="1"/>
    </xf>
    <xf numFmtId="0" fontId="9" fillId="0" borderId="182" xfId="0" applyFont="1" applyFill="1" applyBorder="1" applyAlignment="1">
      <alignment horizontal="center" vertical="top" wrapText="1"/>
    </xf>
    <xf numFmtId="0" fontId="9" fillId="0" borderId="140" xfId="0" applyFont="1" applyFill="1" applyBorder="1" applyAlignment="1">
      <alignment horizontal="center" vertical="top" wrapText="1"/>
    </xf>
    <xf numFmtId="0" fontId="100" fillId="33" borderId="71" xfId="60" applyFont="1" applyFill="1" applyBorder="1" applyAlignment="1">
      <alignment horizontal="center"/>
      <protection/>
    </xf>
    <xf numFmtId="0" fontId="100" fillId="33" borderId="71" xfId="60" applyFont="1" applyFill="1" applyBorder="1" applyAlignment="1">
      <alignment horizontal="right"/>
      <protection/>
    </xf>
    <xf numFmtId="0" fontId="100" fillId="33" borderId="71" xfId="60" applyFont="1" applyFill="1" applyBorder="1" applyAlignment="1" quotePrefix="1">
      <alignment horizontal="center"/>
      <protection/>
    </xf>
    <xf numFmtId="177" fontId="100" fillId="33" borderId="71" xfId="0" applyNumberFormat="1" applyFont="1" applyFill="1" applyBorder="1" applyAlignment="1">
      <alignment horizontal="center" wrapText="1"/>
    </xf>
    <xf numFmtId="0" fontId="100" fillId="39" borderId="18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8" xfId="0" applyBorder="1" applyAlignment="1">
      <alignment/>
    </xf>
    <xf numFmtId="0" fontId="100" fillId="39" borderId="184" xfId="0" applyFont="1" applyFill="1" applyBorder="1" applyAlignment="1">
      <alignment horizontal="center" wrapText="1"/>
    </xf>
    <xf numFmtId="0" fontId="100" fillId="39" borderId="128" xfId="0" applyFont="1" applyFill="1" applyBorder="1" applyAlignment="1">
      <alignment horizontal="center" wrapText="1"/>
    </xf>
    <xf numFmtId="0" fontId="99" fillId="39" borderId="0" xfId="0" applyFont="1" applyFill="1" applyBorder="1" applyAlignment="1">
      <alignment wrapText="1"/>
    </xf>
    <xf numFmtId="183" fontId="100" fillId="33" borderId="71" xfId="60" applyNumberFormat="1" applyFont="1" applyFill="1" applyBorder="1" applyAlignment="1">
      <alignment horizontal="center" wrapText="1"/>
      <protection/>
    </xf>
    <xf numFmtId="0" fontId="100" fillId="39" borderId="185" xfId="0" applyFont="1" applyFill="1" applyBorder="1" applyAlignment="1">
      <alignment horizontal="center" wrapText="1"/>
    </xf>
    <xf numFmtId="0" fontId="100" fillId="39" borderId="186" xfId="0" applyFont="1" applyFill="1" applyBorder="1" applyAlignment="1">
      <alignment wrapText="1"/>
    </xf>
    <xf numFmtId="0" fontId="100" fillId="39" borderId="129" xfId="0" applyFont="1" applyFill="1" applyBorder="1" applyAlignment="1">
      <alignment horizontal="center" wrapText="1"/>
    </xf>
    <xf numFmtId="0" fontId="100" fillId="39" borderId="130" xfId="0" applyFont="1" applyFill="1" applyBorder="1" applyAlignment="1">
      <alignment horizontal="center" wrapText="1"/>
    </xf>
    <xf numFmtId="177" fontId="100" fillId="33" borderId="187" xfId="42" applyFont="1" applyFill="1" applyBorder="1" applyAlignment="1">
      <alignment horizontal="center" wrapText="1"/>
    </xf>
    <xf numFmtId="177" fontId="100" fillId="33" borderId="184" xfId="42" applyFont="1" applyFill="1" applyBorder="1" applyAlignment="1">
      <alignment horizontal="center" wrapText="1"/>
    </xf>
    <xf numFmtId="0" fontId="100" fillId="33" borderId="119" xfId="60" applyFont="1" applyFill="1" applyBorder="1" applyAlignment="1">
      <alignment horizontal="center" wrapText="1"/>
      <protection/>
    </xf>
    <xf numFmtId="0" fontId="100" fillId="33" borderId="188" xfId="60" applyFont="1" applyFill="1" applyBorder="1" applyAlignment="1">
      <alignment horizontal="center" wrapText="1"/>
      <protection/>
    </xf>
    <xf numFmtId="0" fontId="100" fillId="36" borderId="72" xfId="60" applyFont="1" applyFill="1" applyBorder="1" applyAlignment="1">
      <alignment horizontal="center" vertical="center"/>
      <protection/>
    </xf>
    <xf numFmtId="0" fontId="100" fillId="36" borderId="119" xfId="60" applyFont="1" applyFill="1" applyBorder="1" applyAlignment="1">
      <alignment horizontal="center" vertical="center"/>
      <protection/>
    </xf>
    <xf numFmtId="0" fontId="100" fillId="36" borderId="189" xfId="60" applyFont="1" applyFill="1" applyBorder="1" applyAlignment="1">
      <alignment horizontal="center" vertical="center"/>
      <protection/>
    </xf>
    <xf numFmtId="0" fontId="100" fillId="33" borderId="73" xfId="60" applyFont="1" applyFill="1" applyBorder="1" applyAlignment="1">
      <alignment horizontal="center" vertical="center"/>
      <protection/>
    </xf>
    <xf numFmtId="0" fontId="100" fillId="33" borderId="74" xfId="60" applyFont="1" applyFill="1" applyBorder="1" applyAlignment="1">
      <alignment horizontal="center" vertical="center"/>
      <protection/>
    </xf>
    <xf numFmtId="0" fontId="100" fillId="33" borderId="75" xfId="60" applyFont="1" applyFill="1" applyBorder="1" applyAlignment="1">
      <alignment horizontal="center" vertical="center"/>
      <protection/>
    </xf>
    <xf numFmtId="0" fontId="100" fillId="33" borderId="183" xfId="60" applyFont="1" applyFill="1" applyBorder="1" applyAlignment="1">
      <alignment horizontal="center" vertical="center"/>
      <protection/>
    </xf>
    <xf numFmtId="0" fontId="100" fillId="33" borderId="0" xfId="60" applyFont="1" applyFill="1" applyBorder="1" applyAlignment="1">
      <alignment horizontal="center" vertical="center"/>
      <protection/>
    </xf>
    <xf numFmtId="0" fontId="100" fillId="33" borderId="118" xfId="60" applyFont="1" applyFill="1" applyBorder="1" applyAlignment="1">
      <alignment horizontal="center" vertical="center"/>
      <protection/>
    </xf>
    <xf numFmtId="0" fontId="100" fillId="39" borderId="129" xfId="0" applyFont="1" applyFill="1" applyBorder="1" applyAlignment="1">
      <alignment horizontal="center" vertical="center" wrapText="1"/>
    </xf>
    <xf numFmtId="0" fontId="100" fillId="39" borderId="130" xfId="0" applyFont="1" applyFill="1" applyBorder="1" applyAlignment="1">
      <alignment horizontal="center" vertical="center" wrapText="1"/>
    </xf>
    <xf numFmtId="0" fontId="100" fillId="36" borderId="72" xfId="60" applyFont="1" applyFill="1" applyBorder="1" applyAlignment="1">
      <alignment horizontal="center"/>
      <protection/>
    </xf>
    <xf numFmtId="0" fontId="100" fillId="36" borderId="119" xfId="60" applyFont="1" applyFill="1" applyBorder="1" applyAlignment="1">
      <alignment horizontal="center"/>
      <protection/>
    </xf>
    <xf numFmtId="0" fontId="100" fillId="36" borderId="188" xfId="60" applyFont="1" applyFill="1" applyBorder="1" applyAlignment="1">
      <alignment horizontal="center"/>
      <protection/>
    </xf>
    <xf numFmtId="0" fontId="99" fillId="33" borderId="73" xfId="0" applyFont="1" applyFill="1" applyBorder="1" applyAlignment="1">
      <alignment horizontal="center"/>
    </xf>
    <xf numFmtId="0" fontId="99" fillId="33" borderId="74" xfId="0" applyFont="1" applyFill="1" applyBorder="1" applyAlignment="1">
      <alignment horizontal="center"/>
    </xf>
    <xf numFmtId="0" fontId="99" fillId="33" borderId="75" xfId="0" applyFont="1" applyFill="1" applyBorder="1" applyAlignment="1">
      <alignment horizontal="center"/>
    </xf>
    <xf numFmtId="0" fontId="99" fillId="33" borderId="76" xfId="0" applyFont="1" applyFill="1" applyBorder="1" applyAlignment="1">
      <alignment horizontal="center"/>
    </xf>
    <xf numFmtId="0" fontId="99" fillId="33" borderId="190" xfId="0" applyFont="1" applyFill="1" applyBorder="1" applyAlignment="1">
      <alignment horizontal="center"/>
    </xf>
    <xf numFmtId="0" fontId="99" fillId="33" borderId="77" xfId="0" applyFont="1" applyFill="1" applyBorder="1" applyAlignment="1">
      <alignment horizontal="center"/>
    </xf>
    <xf numFmtId="0" fontId="99" fillId="33" borderId="73" xfId="60" applyFont="1" applyFill="1" applyBorder="1" applyAlignment="1">
      <alignment horizontal="center"/>
      <protection/>
    </xf>
    <xf numFmtId="0" fontId="99" fillId="33" borderId="74" xfId="60" applyFont="1" applyFill="1" applyBorder="1" applyAlignment="1">
      <alignment horizontal="center"/>
      <protection/>
    </xf>
    <xf numFmtId="0" fontId="99" fillId="33" borderId="75" xfId="60" applyFont="1" applyFill="1" applyBorder="1" applyAlignment="1">
      <alignment horizontal="center"/>
      <protection/>
    </xf>
    <xf numFmtId="0" fontId="99" fillId="33" borderId="76" xfId="60" applyFont="1" applyFill="1" applyBorder="1" applyAlignment="1">
      <alignment horizontal="center"/>
      <protection/>
    </xf>
    <xf numFmtId="0" fontId="99" fillId="33" borderId="190" xfId="60" applyFont="1" applyFill="1" applyBorder="1" applyAlignment="1">
      <alignment horizontal="center"/>
      <protection/>
    </xf>
    <xf numFmtId="0" fontId="99" fillId="33" borderId="77" xfId="60" applyFont="1" applyFill="1" applyBorder="1" applyAlignment="1">
      <alignment horizontal="center"/>
      <protection/>
    </xf>
    <xf numFmtId="0" fontId="99" fillId="33" borderId="191" xfId="0" applyFont="1" applyFill="1" applyBorder="1" applyAlignment="1">
      <alignment horizontal="center"/>
    </xf>
    <xf numFmtId="0" fontId="99" fillId="33" borderId="130" xfId="0" applyFont="1" applyFill="1" applyBorder="1" applyAlignment="1">
      <alignment horizontal="center"/>
    </xf>
    <xf numFmtId="0" fontId="99" fillId="33" borderId="192" xfId="0" applyFont="1" applyFill="1" applyBorder="1" applyAlignment="1">
      <alignment horizontal="center"/>
    </xf>
    <xf numFmtId="0" fontId="100" fillId="33" borderId="72" xfId="60" applyFont="1" applyFill="1" applyBorder="1" applyAlignment="1">
      <alignment horizontal="center" wrapText="1"/>
      <protection/>
    </xf>
    <xf numFmtId="0" fontId="100" fillId="36" borderId="72" xfId="0" applyFont="1" applyFill="1" applyBorder="1" applyAlignment="1">
      <alignment horizontal="center" wrapText="1"/>
    </xf>
    <xf numFmtId="0" fontId="100" fillId="36" borderId="119" xfId="0" applyFont="1" applyFill="1" applyBorder="1" applyAlignment="1">
      <alignment horizontal="center" wrapText="1"/>
    </xf>
    <xf numFmtId="0" fontId="100" fillId="36" borderId="188" xfId="0" applyFont="1" applyFill="1" applyBorder="1" applyAlignment="1">
      <alignment horizontal="center" wrapText="1"/>
    </xf>
    <xf numFmtId="0" fontId="99" fillId="33" borderId="183" xfId="0" applyFont="1" applyFill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99" fillId="33" borderId="118" xfId="0" applyFont="1" applyFill="1" applyBorder="1" applyAlignment="1">
      <alignment horizontal="center"/>
    </xf>
    <xf numFmtId="0" fontId="100" fillId="33" borderId="190" xfId="0" applyFont="1" applyFill="1" applyBorder="1" applyAlignment="1">
      <alignment horizontal="center"/>
    </xf>
    <xf numFmtId="0" fontId="100" fillId="0" borderId="119" xfId="0" applyFont="1" applyFill="1" applyBorder="1" applyAlignment="1">
      <alignment horizontal="center" wrapText="1"/>
    </xf>
    <xf numFmtId="0" fontId="93" fillId="34" borderId="37" xfId="0" applyFont="1" applyFill="1" applyBorder="1" applyAlignment="1">
      <alignment horizontal="center"/>
    </xf>
    <xf numFmtId="0" fontId="93" fillId="34" borderId="37" xfId="0" applyFont="1" applyFill="1" applyBorder="1" applyAlignment="1">
      <alignment horizontal="center" vertical="top"/>
    </xf>
    <xf numFmtId="0" fontId="93" fillId="0" borderId="37" xfId="0" applyFont="1" applyBorder="1" applyAlignment="1">
      <alignment horizontal="center"/>
    </xf>
    <xf numFmtId="0" fontId="93" fillId="33" borderId="37" xfId="0" applyFont="1" applyFill="1" applyBorder="1" applyAlignment="1">
      <alignment horizontal="center"/>
    </xf>
    <xf numFmtId="0" fontId="85" fillId="0" borderId="193" xfId="0" applyFont="1" applyBorder="1" applyAlignment="1">
      <alignment horizontal="center"/>
    </xf>
    <xf numFmtId="0" fontId="85" fillId="0" borderId="194" xfId="0" applyFont="1" applyBorder="1" applyAlignment="1">
      <alignment horizontal="center"/>
    </xf>
    <xf numFmtId="0" fontId="110" fillId="0" borderId="195" xfId="0" applyFont="1" applyBorder="1" applyAlignment="1">
      <alignment horizontal="left" vertical="top"/>
    </xf>
    <xf numFmtId="0" fontId="110" fillId="0" borderId="87" xfId="0" applyFont="1" applyBorder="1" applyAlignment="1">
      <alignment horizontal="left" vertical="top"/>
    </xf>
    <xf numFmtId="0" fontId="127" fillId="0" borderId="83" xfId="0" applyFont="1" applyBorder="1" applyAlignment="1">
      <alignment horizontal="center"/>
    </xf>
    <xf numFmtId="0" fontId="127" fillId="0" borderId="0" xfId="0" applyFont="1" applyBorder="1" applyAlignment="1">
      <alignment horizontal="center"/>
    </xf>
    <xf numFmtId="0" fontId="127" fillId="0" borderId="82" xfId="0" applyFont="1" applyBorder="1" applyAlignment="1">
      <alignment horizontal="center"/>
    </xf>
    <xf numFmtId="0" fontId="110" fillId="0" borderId="81" xfId="0" applyFont="1" applyBorder="1" applyAlignment="1">
      <alignment horizontal="justify" vertical="top" wrapText="1"/>
    </xf>
    <xf numFmtId="0" fontId="110" fillId="0" borderId="37" xfId="0" applyFont="1" applyBorder="1" applyAlignment="1">
      <alignment horizontal="center" vertical="top" wrapText="1"/>
    </xf>
    <xf numFmtId="0" fontId="110" fillId="0" borderId="84" xfId="0" applyFont="1" applyBorder="1" applyAlignment="1">
      <alignment horizontal="center" vertical="top" wrapText="1"/>
    </xf>
    <xf numFmtId="183" fontId="115" fillId="0" borderId="196" xfId="42" applyNumberFormat="1" applyFont="1" applyBorder="1" applyAlignment="1">
      <alignment horizontal="center"/>
    </xf>
    <xf numFmtId="183" fontId="115" fillId="0" borderId="197" xfId="42" applyNumberFormat="1" applyFont="1" applyBorder="1" applyAlignment="1">
      <alignment horizontal="center"/>
    </xf>
    <xf numFmtId="183" fontId="115" fillId="0" borderId="198" xfId="42" applyNumberFormat="1" applyFont="1" applyBorder="1" applyAlignment="1">
      <alignment horizontal="center"/>
    </xf>
    <xf numFmtId="183" fontId="115" fillId="0" borderId="199" xfId="42" applyNumberFormat="1" applyFont="1" applyBorder="1" applyAlignment="1">
      <alignment horizontal="center" vertical="center"/>
    </xf>
    <xf numFmtId="183" fontId="115" fillId="0" borderId="200" xfId="42" applyNumberFormat="1" applyFont="1" applyBorder="1" applyAlignment="1">
      <alignment horizontal="center" vertical="center"/>
    </xf>
    <xf numFmtId="183" fontId="115" fillId="0" borderId="121" xfId="42" applyNumberFormat="1" applyFont="1" applyBorder="1" applyAlignment="1">
      <alignment horizontal="center" vertical="center"/>
    </xf>
    <xf numFmtId="183" fontId="115" fillId="39" borderId="201" xfId="42" applyNumberFormat="1" applyFont="1" applyFill="1" applyBorder="1" applyAlignment="1">
      <alignment horizontal="center"/>
    </xf>
    <xf numFmtId="183" fontId="115" fillId="39" borderId="52" xfId="42" applyNumberFormat="1" applyFont="1" applyFill="1" applyBorder="1" applyAlignment="1">
      <alignment horizontal="center"/>
    </xf>
    <xf numFmtId="183" fontId="115" fillId="13" borderId="201" xfId="42" applyNumberFormat="1" applyFont="1" applyFill="1" applyBorder="1" applyAlignment="1">
      <alignment horizontal="center" vertical="center"/>
    </xf>
    <xf numFmtId="183" fontId="115" fillId="13" borderId="52" xfId="42" applyNumberFormat="1" applyFont="1" applyFill="1" applyBorder="1" applyAlignment="1">
      <alignment horizontal="center" vertical="center"/>
    </xf>
    <xf numFmtId="183" fontId="115" fillId="38" borderId="201" xfId="42" applyNumberFormat="1" applyFont="1" applyFill="1" applyBorder="1" applyAlignment="1">
      <alignment horizontal="center" vertical="center"/>
    </xf>
    <xf numFmtId="183" fontId="115" fillId="38" borderId="52" xfId="42" applyNumberFormat="1" applyFont="1" applyFill="1" applyBorder="1" applyAlignment="1">
      <alignment horizontal="center" vertical="center"/>
    </xf>
    <xf numFmtId="183" fontId="115" fillId="3" borderId="201" xfId="42" applyNumberFormat="1" applyFont="1" applyFill="1" applyBorder="1" applyAlignment="1">
      <alignment horizontal="center"/>
    </xf>
    <xf numFmtId="183" fontId="115" fillId="3" borderId="52" xfId="42" applyNumberFormat="1" applyFont="1" applyFill="1" applyBorder="1" applyAlignment="1">
      <alignment horizontal="center"/>
    </xf>
    <xf numFmtId="183" fontId="115" fillId="16" borderId="201" xfId="42" applyNumberFormat="1" applyFont="1" applyFill="1" applyBorder="1" applyAlignment="1">
      <alignment horizontal="center" vertical="center"/>
    </xf>
    <xf numFmtId="183" fontId="115" fillId="16" borderId="52" xfId="42" applyNumberFormat="1" applyFont="1" applyFill="1" applyBorder="1" applyAlignment="1">
      <alignment horizontal="center" vertical="center"/>
    </xf>
    <xf numFmtId="0" fontId="113" fillId="0" borderId="202" xfId="0" applyFont="1" applyBorder="1" applyAlignment="1">
      <alignment horizontal="center"/>
    </xf>
    <xf numFmtId="0" fontId="113" fillId="0" borderId="203" xfId="0" applyFont="1" applyBorder="1" applyAlignment="1">
      <alignment horizontal="center"/>
    </xf>
    <xf numFmtId="183" fontId="114" fillId="0" borderId="204" xfId="42" applyNumberFormat="1" applyFont="1" applyBorder="1" applyAlignment="1">
      <alignment horizontal="center"/>
    </xf>
    <xf numFmtId="183" fontId="114" fillId="0" borderId="205" xfId="42" applyNumberFormat="1" applyFont="1" applyBorder="1" applyAlignment="1">
      <alignment horizontal="center"/>
    </xf>
    <xf numFmtId="183" fontId="114" fillId="0" borderId="206" xfId="42" applyNumberFormat="1" applyFont="1" applyBorder="1" applyAlignment="1">
      <alignment horizontal="center"/>
    </xf>
    <xf numFmtId="0" fontId="128" fillId="0" borderId="101" xfId="0" applyFont="1" applyBorder="1" applyAlignment="1">
      <alignment horizontal="center"/>
    </xf>
    <xf numFmtId="0" fontId="120" fillId="0" borderId="101" xfId="0" applyFont="1" applyBorder="1" applyAlignment="1">
      <alignment horizontal="center"/>
    </xf>
    <xf numFmtId="0" fontId="113" fillId="0" borderId="127" xfId="0" applyFont="1" applyBorder="1" applyAlignment="1">
      <alignment horizontal="center"/>
    </xf>
    <xf numFmtId="0" fontId="113" fillId="0" borderId="107" xfId="0" applyFont="1" applyBorder="1" applyAlignment="1">
      <alignment horizontal="center"/>
    </xf>
    <xf numFmtId="0" fontId="120" fillId="0" borderId="127" xfId="0" applyFont="1" applyBorder="1" applyAlignment="1">
      <alignment horizontal="center"/>
    </xf>
    <xf numFmtId="0" fontId="120" fillId="0" borderId="126" xfId="0" applyFont="1" applyBorder="1" applyAlignment="1">
      <alignment horizontal="center"/>
    </xf>
    <xf numFmtId="0" fontId="120" fillId="0" borderId="107" xfId="0" applyFont="1" applyBorder="1" applyAlignment="1">
      <alignment horizontal="center"/>
    </xf>
    <xf numFmtId="0" fontId="116" fillId="0" borderId="127" xfId="0" applyFont="1" applyBorder="1" applyAlignment="1">
      <alignment horizontal="center"/>
    </xf>
    <xf numFmtId="0" fontId="116" fillId="0" borderId="107" xfId="0" applyFont="1" applyBorder="1" applyAlignment="1">
      <alignment horizontal="center"/>
    </xf>
    <xf numFmtId="177" fontId="17" fillId="33" borderId="78" xfId="45" applyNumberFormat="1" applyFont="1" applyFill="1" applyBorder="1" applyAlignment="1">
      <alignment horizontal="center"/>
    </xf>
    <xf numFmtId="177" fontId="17" fillId="33" borderId="87" xfId="45" applyNumberFormat="1" applyFont="1" applyFill="1" applyBorder="1" applyAlignment="1">
      <alignment horizontal="center"/>
    </xf>
    <xf numFmtId="0" fontId="115" fillId="0" borderId="37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28" fillId="0" borderId="127" xfId="0" applyFont="1" applyBorder="1" applyAlignment="1">
      <alignment horizontal="center"/>
    </xf>
    <xf numFmtId="0" fontId="128" fillId="0" borderId="126" xfId="0" applyFont="1" applyBorder="1" applyAlignment="1">
      <alignment horizontal="center"/>
    </xf>
    <xf numFmtId="0" fontId="128" fillId="0" borderId="107" xfId="0" applyFont="1" applyBorder="1" applyAlignment="1">
      <alignment horizontal="center"/>
    </xf>
    <xf numFmtId="17" fontId="120" fillId="0" borderId="126" xfId="0" applyNumberFormat="1" applyFont="1" applyBorder="1" applyAlignment="1">
      <alignment horizontal="center"/>
    </xf>
    <xf numFmtId="0" fontId="113" fillId="0" borderId="115" xfId="0" applyFont="1" applyBorder="1" applyAlignment="1">
      <alignment horizontal="center"/>
    </xf>
    <xf numFmtId="0" fontId="114" fillId="0" borderId="207" xfId="0" applyFont="1" applyBorder="1" applyAlignment="1">
      <alignment horizontal="center"/>
    </xf>
    <xf numFmtId="0" fontId="114" fillId="0" borderId="208" xfId="0" applyFont="1" applyBorder="1" applyAlignment="1">
      <alignment horizontal="center"/>
    </xf>
    <xf numFmtId="0" fontId="115" fillId="0" borderId="207" xfId="0" applyFont="1" applyBorder="1" applyAlignment="1">
      <alignment horizontal="left"/>
    </xf>
    <xf numFmtId="0" fontId="115" fillId="0" borderId="208" xfId="0" applyFont="1" applyBorder="1" applyAlignment="1">
      <alignment horizontal="left"/>
    </xf>
    <xf numFmtId="0" fontId="129" fillId="0" borderId="209" xfId="0" applyFont="1" applyBorder="1" applyAlignment="1">
      <alignment horizontal="center"/>
    </xf>
    <xf numFmtId="0" fontId="129" fillId="0" borderId="210" xfId="0" applyFont="1" applyBorder="1" applyAlignment="1">
      <alignment horizontal="center"/>
    </xf>
    <xf numFmtId="0" fontId="124" fillId="0" borderId="209" xfId="0" applyFont="1" applyBorder="1" applyAlignment="1">
      <alignment horizontal="center"/>
    </xf>
    <xf numFmtId="0" fontId="124" fillId="0" borderId="211" xfId="0" applyFont="1" applyBorder="1" applyAlignment="1">
      <alignment horizontal="center"/>
    </xf>
    <xf numFmtId="0" fontId="116" fillId="0" borderId="209" xfId="0" applyFont="1" applyBorder="1" applyAlignment="1">
      <alignment horizontal="center"/>
    </xf>
    <xf numFmtId="0" fontId="116" fillId="0" borderId="2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Wario%20Jirmo%20Harsama\Desktop\Summary%202016-17\Departmental%20PE%20Estim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Wario%20Jirmo%20Harsama\Desktop\Summary%202016-17\Educ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Wario%20Jirmo%20Harsama\Desktop\Summary%202016-17\SALARY%20HEALTH%20SERVICES%202016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Wario%20Jirmo%20Harsama\Desktop\Recurrent%20Final%20%20Estim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Wario%20Jirmo%20Harsama\Desktop\Summary%202016-17\Budget%20breakdown%20for%20Water,%20Environment%20&amp;%20NR%20-%202016-2017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Temp\Old%20version%20Estimates%202017%20-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"/>
      <sheetName val="Finance"/>
      <sheetName val="Agriculture"/>
      <sheetName val="CPSB"/>
      <sheetName val="Education"/>
      <sheetName val="Health"/>
      <sheetName val="Administration"/>
      <sheetName val="Lands"/>
      <sheetName val="Roads"/>
      <sheetName val="Water"/>
      <sheetName val="Trade"/>
      <sheetName val="Culture"/>
    </sheetNames>
    <sheetDataSet>
      <sheetData sheetId="1">
        <row r="81">
          <cell r="H81">
            <v>44071800</v>
          </cell>
        </row>
        <row r="82">
          <cell r="H82">
            <v>9123120</v>
          </cell>
        </row>
        <row r="83">
          <cell r="H83">
            <v>11097600</v>
          </cell>
        </row>
        <row r="84">
          <cell r="H84">
            <v>6372000</v>
          </cell>
        </row>
        <row r="85">
          <cell r="H85">
            <v>579645</v>
          </cell>
        </row>
        <row r="86">
          <cell r="H86">
            <v>6610770</v>
          </cell>
        </row>
        <row r="87">
          <cell r="H87">
            <v>1631216.28</v>
          </cell>
        </row>
      </sheetData>
      <sheetData sheetId="7">
        <row r="60">
          <cell r="E60">
            <v>76913521.44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 2015-2016"/>
      <sheetName val="BUTIYE "/>
      <sheetName val="HEILU MANYATTA"/>
      <sheetName val="GOLBO"/>
      <sheetName val="OBBU"/>
      <sheetName val="Korr-Ngurunet"/>
      <sheetName val="Laisamis"/>
      <sheetName val="Loglogo"/>
      <sheetName val="Loyangalani"/>
      <sheetName val="SOLOLO"/>
      <sheetName val="TOWNSHIP"/>
      <sheetName val="URAN"/>
      <sheetName val="MOYALE SUB COUNTY "/>
      <sheetName val="KARGI-SOUTH HORR"/>
      <sheetName val="KORR-NGURNIT"/>
      <sheetName val="LAISAMI"/>
      <sheetName val="LOGLOG"/>
      <sheetName val="LOIYANGALANI"/>
      <sheetName val="LAISAMIS SUB COUNTY"/>
      <sheetName val="DUKANA "/>
      <sheetName val="ILLERET"/>
      <sheetName val="MAIKONA"/>
      <sheetName val="NORTH HORR"/>
      <sheetName val="TURBI"/>
      <sheetName val="NORTH HORR SUB COUNTY"/>
      <sheetName val="KARARE"/>
      <sheetName val="MARSABIT CENTRAL"/>
      <sheetName val="SAGANTE"/>
      <sheetName val="SAKU SUB COUNTY"/>
      <sheetName val="MBT COUNTY PRIORIIES 2017"/>
      <sheetName val="EDUCATION DPT COMMUNITY PRIORIT"/>
      <sheetName val="PROPOSED DEVELOPMENT PROJECTS"/>
      <sheetName val="Recurrent Budget 2016-17"/>
      <sheetName val="SALARY COMPUTATION 2016-2017"/>
    </sheetNames>
    <sheetDataSet>
      <sheetData sheetId="33">
        <row r="23">
          <cell r="D23">
            <v>114303759.84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67">
          <cell r="R67">
            <v>652074432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"/>
      <sheetName val="Finance"/>
      <sheetName val="Agriculture"/>
      <sheetName val="CPSB"/>
      <sheetName val="Education"/>
      <sheetName val="Health"/>
      <sheetName val="Admin"/>
      <sheetName val="Lands"/>
      <sheetName val="Roads"/>
      <sheetName val="Water"/>
      <sheetName val="Trade"/>
      <sheetName val="Culture"/>
      <sheetName val="Summary"/>
      <sheetName val="Furniture"/>
      <sheetName val="Flagship"/>
      <sheetName val="Sheet1"/>
    </sheetNames>
    <sheetDataSet>
      <sheetData sheetId="6">
        <row r="4">
          <cell r="C4">
            <v>138238937.52000004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aries and allowances"/>
      <sheetName val="Devept budget itemised"/>
      <sheetName val="WATER &amp; EVT Final Budget"/>
      <sheetName val="Sheet3"/>
    </sheetNames>
    <sheetDataSet>
      <sheetData sheetId="0">
        <row r="165">
          <cell r="P165">
            <v>55951619.879999995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 2015-2016"/>
      <sheetName val="BUTIYE "/>
      <sheetName val="HEILU MANYATTA"/>
      <sheetName val="GOLBO"/>
      <sheetName val="OBBU"/>
      <sheetName val="Korr-Ngurunet"/>
      <sheetName val="Laisamis"/>
      <sheetName val="Loglogo"/>
      <sheetName val="Loyangalani"/>
      <sheetName val="SOLOLO"/>
      <sheetName val="TOWNSHIP"/>
      <sheetName val="URAN"/>
      <sheetName val="MOYALE SUB COUNTY "/>
      <sheetName val="KARGI-SOUTH HORR"/>
      <sheetName val="KORR-NGURNIT"/>
      <sheetName val="LAISAMI"/>
      <sheetName val="LOGLOG"/>
      <sheetName val="LOIYANGALANI"/>
      <sheetName val="LAISAMIS SUB COUNTY"/>
      <sheetName val="DUKANA "/>
      <sheetName val="ILLERET"/>
      <sheetName val="MAIKONA"/>
      <sheetName val="NORTH HORR"/>
      <sheetName val="TURBI"/>
      <sheetName val="NORTH HORR SUB COUNTY"/>
      <sheetName val="KARARE"/>
      <sheetName val="MARSABIT CENTRAL"/>
      <sheetName val="SAGANTE"/>
      <sheetName val="SAKU SUB COUNTY"/>
      <sheetName val="Development 2017-2018"/>
      <sheetName val="Recurrent 2017-2018"/>
      <sheetName val="Sheet13"/>
      <sheetName val="Sheet1"/>
      <sheetName val="Sheet2"/>
      <sheetName val="Sheet4"/>
      <sheetName val="Summary"/>
      <sheetName val="Sheet3 (2)"/>
      <sheetName val="Sheet6"/>
      <sheetName val="Sheet7"/>
    </sheetNames>
    <sheetDataSet>
      <sheetData sheetId="29">
        <row r="18">
          <cell r="G18">
            <v>367742341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zoomScalePageLayoutView="0" workbookViewId="0" topLeftCell="A10">
      <selection activeCell="G33" sqref="G33"/>
    </sheetView>
  </sheetViews>
  <sheetFormatPr defaultColWidth="9.140625" defaultRowHeight="15"/>
  <cols>
    <col min="1" max="1" width="5.421875" style="1" customWidth="1"/>
    <col min="2" max="2" width="13.140625" style="1" customWidth="1"/>
    <col min="3" max="3" width="39.00390625" style="1" customWidth="1"/>
    <col min="4" max="4" width="20.28125" style="1" customWidth="1"/>
    <col min="5" max="5" width="14.00390625" style="4" customWidth="1"/>
    <col min="6" max="7" width="9.140625" style="1" customWidth="1"/>
    <col min="8" max="8" width="13.7109375" style="1" customWidth="1"/>
    <col min="9" max="9" width="14.421875" style="1" customWidth="1"/>
    <col min="10" max="16384" width="9.140625" style="1" customWidth="1"/>
  </cols>
  <sheetData>
    <row r="2" spans="4:5" ht="12.75">
      <c r="D2" s="1143" t="s">
        <v>14</v>
      </c>
      <c r="E2" s="1143"/>
    </row>
    <row r="3" spans="4:5" ht="12.75">
      <c r="D3" s="1143" t="s">
        <v>15</v>
      </c>
      <c r="E3" s="1143"/>
    </row>
    <row r="4" spans="4:5" ht="12.75">
      <c r="D4" s="1143" t="s">
        <v>17</v>
      </c>
      <c r="E4" s="1143"/>
    </row>
    <row r="5" spans="4:5" ht="12.75">
      <c r="D5" s="1" t="s">
        <v>18</v>
      </c>
      <c r="E5" s="4">
        <v>54500000</v>
      </c>
    </row>
    <row r="6" spans="4:5" ht="12.75">
      <c r="D6" s="1" t="s">
        <v>19</v>
      </c>
      <c r="E6" s="4">
        <v>78300000</v>
      </c>
    </row>
    <row r="7" spans="4:5" ht="12.75">
      <c r="D7" s="1" t="s">
        <v>20</v>
      </c>
      <c r="E7" s="4">
        <v>57200000</v>
      </c>
    </row>
    <row r="8" spans="4:5" ht="12.75">
      <c r="D8" s="1" t="s">
        <v>21</v>
      </c>
      <c r="E8" s="4">
        <v>40050000</v>
      </c>
    </row>
    <row r="9" spans="4:5" ht="12.75">
      <c r="D9" s="1" t="s">
        <v>22</v>
      </c>
      <c r="E9" s="4">
        <v>65000000</v>
      </c>
    </row>
    <row r="10" spans="4:5" ht="12.75">
      <c r="D10" s="10" t="s">
        <v>16</v>
      </c>
      <c r="E10" s="9">
        <f>SUM(E5:E9)</f>
        <v>295050000</v>
      </c>
    </row>
    <row r="11" ht="13.5" thickBot="1"/>
    <row r="12" spans="4:9" ht="13.5" thickBot="1">
      <c r="D12" s="1140" t="s">
        <v>311</v>
      </c>
      <c r="E12" s="1141"/>
      <c r="F12" s="1141"/>
      <c r="G12" s="1141"/>
      <c r="H12" s="1141"/>
      <c r="I12" s="1142"/>
    </row>
    <row r="13" spans="2:9" s="115" customFormat="1" ht="13.5" thickBot="1">
      <c r="B13" s="116" t="s">
        <v>294</v>
      </c>
      <c r="C13" s="117" t="s">
        <v>308</v>
      </c>
      <c r="D13" s="126" t="s">
        <v>309</v>
      </c>
      <c r="E13" s="126" t="s">
        <v>310</v>
      </c>
      <c r="F13" s="127" t="s">
        <v>194</v>
      </c>
      <c r="G13" s="127" t="s">
        <v>159</v>
      </c>
      <c r="H13" s="127" t="s">
        <v>287</v>
      </c>
      <c r="I13" s="127" t="s">
        <v>295</v>
      </c>
    </row>
    <row r="14" spans="2:9" s="115" customFormat="1" ht="12.75">
      <c r="B14" s="130" t="s">
        <v>316</v>
      </c>
      <c r="C14" s="129" t="s">
        <v>314</v>
      </c>
      <c r="D14" s="123">
        <f>SUM(D3:D15)</f>
        <v>0</v>
      </c>
      <c r="E14" s="120">
        <v>0</v>
      </c>
      <c r="F14" s="123">
        <f>SUM(F3:F15)</f>
        <v>0</v>
      </c>
      <c r="G14" s="123">
        <f>SUM(G3:G15)</f>
        <v>0</v>
      </c>
      <c r="H14" s="123">
        <f>SUM(H3:H15)</f>
        <v>0</v>
      </c>
      <c r="I14" s="125">
        <f aca="true" t="shared" si="0" ref="I14:I23">SUM(D14:H14)</f>
        <v>0</v>
      </c>
    </row>
    <row r="15" spans="2:9" s="115" customFormat="1" ht="12.75">
      <c r="B15" s="130" t="s">
        <v>307</v>
      </c>
      <c r="C15" s="128" t="s">
        <v>313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5">
        <f t="shared" si="0"/>
        <v>0</v>
      </c>
    </row>
    <row r="16" spans="2:9" s="115" customFormat="1" ht="12.75">
      <c r="B16" s="121" t="s">
        <v>297</v>
      </c>
      <c r="C16" s="122" t="s">
        <v>325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5">
        <f t="shared" si="0"/>
        <v>0</v>
      </c>
    </row>
    <row r="17" spans="2:9" s="115" customFormat="1" ht="12.75">
      <c r="B17" s="121" t="s">
        <v>306</v>
      </c>
      <c r="C17" s="128" t="s">
        <v>312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5">
        <f t="shared" si="0"/>
        <v>0</v>
      </c>
    </row>
    <row r="18" spans="2:9" s="115" customFormat="1" ht="12.75">
      <c r="B18" s="121" t="s">
        <v>304</v>
      </c>
      <c r="C18" s="122" t="s">
        <v>320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5">
        <f t="shared" si="0"/>
        <v>0</v>
      </c>
    </row>
    <row r="19" spans="2:9" s="115" customFormat="1" ht="12.75">
      <c r="B19" s="121" t="s">
        <v>300</v>
      </c>
      <c r="C19" s="122" t="s">
        <v>318</v>
      </c>
      <c r="D19" s="120">
        <f>TOWNSHIP!G11</f>
        <v>500000</v>
      </c>
      <c r="E19" s="120">
        <v>0</v>
      </c>
      <c r="F19" s="120">
        <v>0</v>
      </c>
      <c r="G19" s="120">
        <v>0</v>
      </c>
      <c r="H19" s="120">
        <v>0</v>
      </c>
      <c r="I19" s="125">
        <f t="shared" si="0"/>
        <v>500000</v>
      </c>
    </row>
    <row r="20" spans="2:9" s="115" customFormat="1" ht="12.75">
      <c r="B20" s="121" t="s">
        <v>303</v>
      </c>
      <c r="C20" s="122" t="s">
        <v>0</v>
      </c>
      <c r="D20" s="120" t="e">
        <f>TOWNSHIP!#REF!</f>
        <v>#REF!</v>
      </c>
      <c r="E20" s="120">
        <v>0</v>
      </c>
      <c r="F20" s="120">
        <v>0</v>
      </c>
      <c r="G20" s="120">
        <v>0</v>
      </c>
      <c r="H20" s="120">
        <v>0</v>
      </c>
      <c r="I20" s="125" t="e">
        <f t="shared" si="0"/>
        <v>#REF!</v>
      </c>
    </row>
    <row r="21" spans="2:9" s="115" customFormat="1" ht="12.75">
      <c r="B21" s="121" t="s">
        <v>298</v>
      </c>
      <c r="C21" s="122" t="s">
        <v>326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5">
        <f t="shared" si="0"/>
        <v>0</v>
      </c>
    </row>
    <row r="22" spans="2:9" s="115" customFormat="1" ht="12.75">
      <c r="B22" s="121" t="s">
        <v>302</v>
      </c>
      <c r="C22" s="122" t="s">
        <v>327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5">
        <f t="shared" si="0"/>
        <v>0</v>
      </c>
    </row>
    <row r="23" spans="2:9" s="115" customFormat="1" ht="12.75" customHeight="1">
      <c r="B23" s="118" t="s">
        <v>296</v>
      </c>
      <c r="C23" s="119" t="s">
        <v>322</v>
      </c>
      <c r="D23" s="120">
        <f>TOWNSHIP!G16</f>
        <v>4000000</v>
      </c>
      <c r="E23" s="120">
        <v>0</v>
      </c>
      <c r="F23" s="120">
        <v>0</v>
      </c>
      <c r="G23" s="120">
        <v>0</v>
      </c>
      <c r="H23" s="120">
        <v>0</v>
      </c>
      <c r="I23" s="125">
        <f t="shared" si="0"/>
        <v>4000000</v>
      </c>
    </row>
    <row r="24" spans="2:9" ht="12.75">
      <c r="B24" s="133" t="s">
        <v>305</v>
      </c>
      <c r="C24" s="128" t="s">
        <v>321</v>
      </c>
      <c r="D24" s="136">
        <f>TOWNSHIP!G8</f>
        <v>27500000</v>
      </c>
      <c r="E24" s="135"/>
      <c r="F24" s="134"/>
      <c r="G24" s="134"/>
      <c r="H24" s="134"/>
      <c r="I24" s="134"/>
    </row>
    <row r="25" spans="2:9" s="115" customFormat="1" ht="12.75">
      <c r="B25" s="121" t="s">
        <v>301</v>
      </c>
      <c r="C25" s="132" t="s">
        <v>319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5">
        <f>SUM(D25:H25)</f>
        <v>0</v>
      </c>
    </row>
    <row r="26" spans="2:9" s="115" customFormat="1" ht="12.75">
      <c r="B26" s="121" t="s">
        <v>299</v>
      </c>
      <c r="C26" s="132" t="s">
        <v>317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7">
        <f>SUM(D26:H26)</f>
        <v>0</v>
      </c>
    </row>
    <row r="27" spans="3:9" s="115" customFormat="1" ht="12.75">
      <c r="C27" s="131" t="s">
        <v>315</v>
      </c>
      <c r="D27" s="124">
        <f aca="true" t="shared" si="1" ref="D27:I27">SUM(D14:D26)</f>
        <v>0</v>
      </c>
      <c r="E27" s="124">
        <f t="shared" si="1"/>
        <v>0</v>
      </c>
      <c r="F27" s="124">
        <f t="shared" si="1"/>
        <v>0</v>
      </c>
      <c r="G27" s="124">
        <f t="shared" si="1"/>
        <v>0</v>
      </c>
      <c r="H27" s="124">
        <f t="shared" si="1"/>
        <v>0</v>
      </c>
      <c r="I27" s="124">
        <f t="shared" si="1"/>
        <v>0</v>
      </c>
    </row>
    <row r="29" ht="12.75">
      <c r="C29" s="1" t="s">
        <v>323</v>
      </c>
    </row>
    <row r="31" ht="12.75">
      <c r="C31" s="1" t="s">
        <v>324</v>
      </c>
    </row>
  </sheetData>
  <sheetProtection/>
  <mergeCells count="4">
    <mergeCell ref="D12:I12"/>
    <mergeCell ref="D2:E2"/>
    <mergeCell ref="D3:E3"/>
    <mergeCell ref="D4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4"/>
  <sheetViews>
    <sheetView zoomScale="90" zoomScaleNormal="90" zoomScalePageLayoutView="0" workbookViewId="0" topLeftCell="A11">
      <selection activeCell="D19" sqref="D19:G21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4" customWidth="1"/>
    <col min="8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/>
      <c r="C2" s="1143"/>
      <c r="D2" s="1143"/>
      <c r="E2" s="1143"/>
      <c r="F2" s="1143"/>
      <c r="G2" s="1143"/>
    </row>
    <row r="3" spans="2:7" ht="15" customHeight="1">
      <c r="B3" s="210"/>
      <c r="C3" s="1157" t="s">
        <v>846</v>
      </c>
      <c r="D3" s="1157"/>
      <c r="E3" s="1157"/>
      <c r="F3" s="1157"/>
      <c r="G3" s="1157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81"/>
      <c r="C6" s="175"/>
      <c r="D6" s="182"/>
      <c r="E6" s="176"/>
      <c r="F6" s="176"/>
      <c r="G6" s="219"/>
    </row>
    <row r="7" spans="2:7" ht="15" customHeight="1">
      <c r="B7" s="175">
        <v>1</v>
      </c>
      <c r="C7" s="1148" t="s">
        <v>452</v>
      </c>
      <c r="D7" s="167" t="s">
        <v>451</v>
      </c>
      <c r="E7" s="167" t="s">
        <v>442</v>
      </c>
      <c r="F7" s="167" t="s">
        <v>442</v>
      </c>
      <c r="G7" s="212">
        <v>3435818</v>
      </c>
    </row>
    <row r="8" spans="2:7" ht="15" customHeight="1" thickBot="1">
      <c r="B8" s="172"/>
      <c r="C8" s="1167"/>
      <c r="D8" s="187"/>
      <c r="E8" s="187"/>
      <c r="F8" s="187"/>
      <c r="G8" s="217"/>
    </row>
    <row r="9" spans="2:7" ht="15" customHeight="1" thickBot="1">
      <c r="B9" s="185"/>
      <c r="C9" s="180"/>
      <c r="D9" s="179" t="s">
        <v>9</v>
      </c>
      <c r="E9" s="180"/>
      <c r="F9" s="180"/>
      <c r="G9" s="218">
        <f>SUM(G6:G8)</f>
        <v>3435818</v>
      </c>
    </row>
    <row r="10" spans="2:7" ht="15" customHeight="1">
      <c r="B10" s="1154">
        <v>2</v>
      </c>
      <c r="C10" s="190"/>
      <c r="D10" s="167"/>
      <c r="E10" s="167"/>
      <c r="F10" s="167"/>
      <c r="G10" s="212"/>
    </row>
    <row r="11" spans="2:7" ht="15" customHeight="1">
      <c r="B11" s="1152"/>
      <c r="C11" s="1148" t="s">
        <v>404</v>
      </c>
      <c r="D11" s="167" t="s">
        <v>444</v>
      </c>
      <c r="E11" s="167" t="s">
        <v>442</v>
      </c>
      <c r="F11" s="167" t="s">
        <v>446</v>
      </c>
      <c r="G11" s="212">
        <v>1700000</v>
      </c>
    </row>
    <row r="12" spans="2:7" ht="15" customHeight="1">
      <c r="B12" s="1152"/>
      <c r="C12" s="1150"/>
      <c r="D12" s="167" t="s">
        <v>445</v>
      </c>
      <c r="E12" s="167" t="s">
        <v>442</v>
      </c>
      <c r="F12" s="167" t="s">
        <v>447</v>
      </c>
      <c r="G12" s="212">
        <v>1700000</v>
      </c>
    </row>
    <row r="13" spans="2:7" ht="15" customHeight="1" thickBot="1">
      <c r="B13" s="1153"/>
      <c r="C13" s="168"/>
      <c r="D13" s="170"/>
      <c r="E13" s="170"/>
      <c r="F13" s="170"/>
      <c r="G13" s="216"/>
    </row>
    <row r="14" spans="2:7" ht="15" customHeight="1" thickBot="1">
      <c r="B14" s="193"/>
      <c r="C14" s="194"/>
      <c r="D14" s="195" t="s">
        <v>9</v>
      </c>
      <c r="E14" s="196"/>
      <c r="F14" s="196"/>
      <c r="G14" s="220">
        <f>SUM(G10:G13)</f>
        <v>3400000</v>
      </c>
    </row>
    <row r="15" spans="2:7" ht="15" customHeight="1">
      <c r="B15" s="1204">
        <v>3</v>
      </c>
      <c r="C15" s="1156" t="s">
        <v>339</v>
      </c>
      <c r="D15" s="199"/>
      <c r="E15" s="200"/>
      <c r="F15" s="200"/>
      <c r="G15" s="215"/>
    </row>
    <row r="16" spans="2:7" ht="15" customHeight="1">
      <c r="B16" s="1164"/>
      <c r="C16" s="1149"/>
      <c r="D16" s="167" t="s">
        <v>453</v>
      </c>
      <c r="E16" s="167" t="s">
        <v>442</v>
      </c>
      <c r="F16" s="167" t="s">
        <v>446</v>
      </c>
      <c r="G16" s="212">
        <v>5900000</v>
      </c>
    </row>
    <row r="17" spans="2:7" ht="15" customHeight="1" thickBot="1">
      <c r="B17" s="1165"/>
      <c r="C17" s="1167"/>
      <c r="D17" s="173"/>
      <c r="E17" s="173"/>
      <c r="F17" s="173"/>
      <c r="G17" s="213"/>
    </row>
    <row r="18" spans="2:7" ht="15" customHeight="1" thickBot="1">
      <c r="B18" s="183"/>
      <c r="C18" s="178"/>
      <c r="D18" s="179" t="s">
        <v>9</v>
      </c>
      <c r="E18" s="180"/>
      <c r="F18" s="180"/>
      <c r="G18" s="218">
        <f>SUM(G16:G17)</f>
        <v>5900000</v>
      </c>
    </row>
    <row r="19" spans="2:7" ht="15" customHeight="1">
      <c r="B19" s="1154">
        <v>4</v>
      </c>
      <c r="C19" s="1148" t="s">
        <v>346</v>
      </c>
      <c r="D19" s="167" t="s">
        <v>448</v>
      </c>
      <c r="E19" s="167" t="s">
        <v>442</v>
      </c>
      <c r="F19" s="167" t="s">
        <v>442</v>
      </c>
      <c r="G19" s="212">
        <v>2000000</v>
      </c>
    </row>
    <row r="20" spans="2:7" ht="15" customHeight="1">
      <c r="B20" s="1152"/>
      <c r="C20" s="1149"/>
      <c r="D20" s="167" t="s">
        <v>440</v>
      </c>
      <c r="E20" s="167" t="s">
        <v>442</v>
      </c>
      <c r="F20" s="167" t="s">
        <v>442</v>
      </c>
      <c r="G20" s="212">
        <v>4000000</v>
      </c>
    </row>
    <row r="21" spans="2:7" ht="15" customHeight="1">
      <c r="B21" s="1152"/>
      <c r="C21" s="1149"/>
      <c r="D21" s="167" t="s">
        <v>441</v>
      </c>
      <c r="E21" s="167" t="s">
        <v>442</v>
      </c>
      <c r="F21" s="167" t="s">
        <v>443</v>
      </c>
      <c r="G21" s="212">
        <v>3000000</v>
      </c>
    </row>
    <row r="22" spans="2:7" ht="15" customHeight="1">
      <c r="B22" s="1152"/>
      <c r="C22" s="1149"/>
      <c r="D22" s="170"/>
      <c r="E22" s="170"/>
      <c r="F22" s="170"/>
      <c r="G22" s="216"/>
    </row>
    <row r="23" spans="2:7" ht="15" customHeight="1" thickBot="1">
      <c r="B23" s="1153"/>
      <c r="C23" s="172"/>
      <c r="D23" s="173"/>
      <c r="E23" s="173"/>
      <c r="F23" s="173"/>
      <c r="G23" s="213"/>
    </row>
    <row r="24" spans="2:7" ht="15" customHeight="1" thickBot="1">
      <c r="B24" s="185"/>
      <c r="C24" s="178"/>
      <c r="D24" s="179" t="s">
        <v>9</v>
      </c>
      <c r="E24" s="180"/>
      <c r="F24" s="180"/>
      <c r="G24" s="214">
        <f>SUM(G19:G23)</f>
        <v>9000000</v>
      </c>
    </row>
    <row r="25" spans="2:7" ht="15" customHeight="1">
      <c r="B25" s="1154">
        <v>5</v>
      </c>
      <c r="C25" s="1156" t="s">
        <v>399</v>
      </c>
      <c r="D25" s="187"/>
      <c r="E25" s="187"/>
      <c r="F25" s="187"/>
      <c r="G25" s="217"/>
    </row>
    <row r="26" spans="2:7" ht="15" customHeight="1">
      <c r="B26" s="1152"/>
      <c r="C26" s="1149"/>
      <c r="D26" s="167" t="s">
        <v>454</v>
      </c>
      <c r="E26" s="167" t="s">
        <v>442</v>
      </c>
      <c r="F26" s="167" t="s">
        <v>455</v>
      </c>
      <c r="G26" s="212">
        <v>3000000</v>
      </c>
    </row>
    <row r="27" spans="2:7" ht="15" customHeight="1" thickBot="1">
      <c r="B27" s="1153"/>
      <c r="C27" s="172"/>
      <c r="D27" s="187"/>
      <c r="E27" s="187"/>
      <c r="F27" s="187"/>
      <c r="G27" s="217"/>
    </row>
    <row r="28" spans="2:7" ht="15" customHeight="1" thickBot="1">
      <c r="B28" s="193"/>
      <c r="C28" s="194"/>
      <c r="D28" s="195" t="s">
        <v>9</v>
      </c>
      <c r="E28" s="196"/>
      <c r="F28" s="196"/>
      <c r="G28" s="220">
        <f>SUM(G25:G27)</f>
        <v>3000000</v>
      </c>
    </row>
    <row r="29" spans="2:7" ht="15" customHeight="1">
      <c r="B29" s="1154">
        <v>6</v>
      </c>
      <c r="C29" s="168"/>
      <c r="D29" s="170"/>
      <c r="E29" s="170"/>
      <c r="F29" s="170"/>
      <c r="G29" s="216"/>
    </row>
    <row r="30" spans="2:7" ht="15" customHeight="1">
      <c r="B30" s="1152"/>
      <c r="C30" s="209" t="s">
        <v>406</v>
      </c>
      <c r="D30" s="167" t="s">
        <v>450</v>
      </c>
      <c r="E30" s="167" t="s">
        <v>442</v>
      </c>
      <c r="F30" s="167" t="s">
        <v>442</v>
      </c>
      <c r="G30" s="212">
        <v>3400000</v>
      </c>
    </row>
    <row r="31" spans="2:7" ht="15" customHeight="1" thickBot="1">
      <c r="B31" s="1153"/>
      <c r="C31" s="168"/>
      <c r="D31" s="170"/>
      <c r="E31" s="170"/>
      <c r="F31" s="170"/>
      <c r="G31" s="216"/>
    </row>
    <row r="32" spans="2:7" ht="15" customHeight="1" thickBot="1">
      <c r="B32" s="193"/>
      <c r="C32" s="194"/>
      <c r="D32" s="195" t="s">
        <v>9</v>
      </c>
      <c r="E32" s="196"/>
      <c r="F32" s="196"/>
      <c r="G32" s="220">
        <f>SUM(G29:G31)</f>
        <v>3400000</v>
      </c>
    </row>
    <row r="33" spans="2:7" ht="15" customHeight="1" thickBot="1">
      <c r="B33" s="166"/>
      <c r="C33" s="168"/>
      <c r="D33" s="170"/>
      <c r="E33" s="170"/>
      <c r="F33" s="170"/>
      <c r="G33" s="216"/>
    </row>
    <row r="34" spans="2:7" ht="15" customHeight="1" thickBot="1">
      <c r="B34" s="193"/>
      <c r="C34" s="194"/>
      <c r="D34" s="195" t="s">
        <v>456</v>
      </c>
      <c r="E34" s="196"/>
      <c r="F34" s="196"/>
      <c r="G34" s="220">
        <f>SUM(G32,G14,G28,G9,G18,G24)</f>
        <v>28135818</v>
      </c>
    </row>
  </sheetData>
  <sheetProtection/>
  <mergeCells count="13">
    <mergeCell ref="B10:B13"/>
    <mergeCell ref="B15:B17"/>
    <mergeCell ref="B19:B23"/>
    <mergeCell ref="B25:B27"/>
    <mergeCell ref="B29:B31"/>
    <mergeCell ref="C25:C26"/>
    <mergeCell ref="C11:C12"/>
    <mergeCell ref="B1:G1"/>
    <mergeCell ref="B2:G2"/>
    <mergeCell ref="C3:G3"/>
    <mergeCell ref="C19:C22"/>
    <mergeCell ref="C15:C17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8"/>
  <sheetViews>
    <sheetView zoomScale="90" zoomScaleNormal="90" zoomScalePageLayoutView="0" workbookViewId="0" topLeftCell="A3">
      <selection activeCell="D15" sqref="D15:G15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1" customWidth="1"/>
    <col min="8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/>
      <c r="C2" s="1143"/>
      <c r="D2" s="1143"/>
      <c r="E2" s="1143"/>
      <c r="F2" s="1143"/>
      <c r="G2" s="1143"/>
    </row>
    <row r="3" spans="2:7" ht="15" customHeight="1">
      <c r="B3" s="1145" t="s">
        <v>417</v>
      </c>
      <c r="C3" s="1145"/>
      <c r="D3" s="1145"/>
      <c r="E3" s="1145"/>
      <c r="F3" s="1145"/>
      <c r="G3" s="1145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151">
        <v>1</v>
      </c>
      <c r="C6" s="1146" t="s">
        <v>335</v>
      </c>
      <c r="D6" s="167" t="s">
        <v>415</v>
      </c>
      <c r="E6" s="167" t="s">
        <v>336</v>
      </c>
      <c r="F6" s="167" t="s">
        <v>359</v>
      </c>
      <c r="G6" s="169">
        <v>23000000</v>
      </c>
    </row>
    <row r="7" spans="2:7" ht="15" customHeight="1" thickBot="1">
      <c r="B7" s="1153"/>
      <c r="C7" s="1147"/>
      <c r="D7" s="167" t="s">
        <v>389</v>
      </c>
      <c r="E7" s="167" t="s">
        <v>336</v>
      </c>
      <c r="F7" s="167" t="s">
        <v>360</v>
      </c>
      <c r="G7" s="169">
        <v>4500000</v>
      </c>
    </row>
    <row r="8" spans="2:7" ht="15" customHeight="1" thickBot="1">
      <c r="B8" s="185"/>
      <c r="C8" s="178"/>
      <c r="D8" s="179" t="s">
        <v>9</v>
      </c>
      <c r="E8" s="180"/>
      <c r="F8" s="180"/>
      <c r="G8" s="186">
        <f>SUM(G6:G7)</f>
        <v>27500000</v>
      </c>
    </row>
    <row r="9" spans="2:7" ht="15" customHeight="1">
      <c r="B9" s="1154">
        <v>2</v>
      </c>
      <c r="C9" s="175"/>
      <c r="D9" s="182"/>
      <c r="E9" s="176"/>
      <c r="F9" s="176"/>
      <c r="G9" s="177"/>
    </row>
    <row r="10" spans="2:7" ht="15" customHeight="1" thickBot="1">
      <c r="B10" s="1153"/>
      <c r="C10" s="211" t="s">
        <v>339</v>
      </c>
      <c r="D10" s="167" t="s">
        <v>340</v>
      </c>
      <c r="E10" s="167" t="s">
        <v>336</v>
      </c>
      <c r="F10" s="167" t="s">
        <v>341</v>
      </c>
      <c r="G10" s="169">
        <v>500000</v>
      </c>
    </row>
    <row r="11" spans="2:7" ht="15" customHeight="1" thickBot="1">
      <c r="B11" s="185"/>
      <c r="C11" s="180"/>
      <c r="D11" s="179" t="s">
        <v>9</v>
      </c>
      <c r="E11" s="180"/>
      <c r="F11" s="180"/>
      <c r="G11" s="184">
        <f>SUM(G9:G10)</f>
        <v>500000</v>
      </c>
    </row>
    <row r="12" spans="2:7" ht="15" customHeight="1" thickBot="1">
      <c r="B12" s="168">
        <v>3</v>
      </c>
      <c r="C12" s="211" t="s">
        <v>342</v>
      </c>
      <c r="D12" s="167" t="s">
        <v>343</v>
      </c>
      <c r="E12" s="167" t="s">
        <v>336</v>
      </c>
      <c r="F12" s="167" t="s">
        <v>359</v>
      </c>
      <c r="G12" s="169">
        <v>1000000</v>
      </c>
    </row>
    <row r="13" spans="2:7" ht="15" customHeight="1" thickBot="1">
      <c r="B13" s="193"/>
      <c r="C13" s="194"/>
      <c r="D13" s="195" t="s">
        <v>9</v>
      </c>
      <c r="E13" s="196"/>
      <c r="F13" s="196"/>
      <c r="G13" s="197">
        <f>SUM(G12:G12)</f>
        <v>1000000</v>
      </c>
    </row>
    <row r="14" spans="2:7" ht="15" customHeight="1">
      <c r="B14" s="1204">
        <v>4</v>
      </c>
      <c r="C14" s="198"/>
      <c r="D14" s="199"/>
      <c r="E14" s="200"/>
      <c r="F14" s="200"/>
      <c r="G14" s="201"/>
    </row>
    <row r="15" spans="2:7" ht="15" customHeight="1" thickBot="1">
      <c r="B15" s="1165"/>
      <c r="C15" s="211" t="s">
        <v>337</v>
      </c>
      <c r="D15" s="167" t="s">
        <v>361</v>
      </c>
      <c r="E15" s="167" t="s">
        <v>336</v>
      </c>
      <c r="F15" s="167" t="s">
        <v>338</v>
      </c>
      <c r="G15" s="169">
        <v>4000000</v>
      </c>
    </row>
    <row r="16" spans="2:7" ht="15" customHeight="1" thickBot="1">
      <c r="B16" s="183"/>
      <c r="C16" s="178"/>
      <c r="D16" s="179" t="s">
        <v>9</v>
      </c>
      <c r="E16" s="180"/>
      <c r="F16" s="180"/>
      <c r="G16" s="184">
        <f>SUM(G15:G15)</f>
        <v>4000000</v>
      </c>
    </row>
    <row r="17" spans="2:7" ht="15" customHeight="1" thickBot="1">
      <c r="B17" s="166"/>
      <c r="C17" s="168"/>
      <c r="D17" s="170"/>
      <c r="E17" s="170"/>
      <c r="F17" s="170"/>
      <c r="G17" s="171"/>
    </row>
    <row r="18" spans="2:7" ht="15" customHeight="1" thickBot="1">
      <c r="B18" s="204"/>
      <c r="C18" s="205"/>
      <c r="D18" s="206" t="s">
        <v>414</v>
      </c>
      <c r="E18" s="207"/>
      <c r="F18" s="207"/>
      <c r="G18" s="208">
        <f>SUM(G13,G11,G16,G8)</f>
        <v>33000000</v>
      </c>
    </row>
  </sheetData>
  <sheetProtection/>
  <mergeCells count="7">
    <mergeCell ref="B14:B15"/>
    <mergeCell ref="B3:G3"/>
    <mergeCell ref="B1:G1"/>
    <mergeCell ref="B2:G2"/>
    <mergeCell ref="C6:C7"/>
    <mergeCell ref="B6:B7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4"/>
  <sheetViews>
    <sheetView zoomScale="90" zoomScaleNormal="90" zoomScalePageLayoutView="0" workbookViewId="0" topLeftCell="A10">
      <selection activeCell="D15" sqref="D15:G15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4" customWidth="1"/>
    <col min="8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/>
      <c r="C2" s="1143"/>
      <c r="D2" s="1143"/>
      <c r="E2" s="1143"/>
      <c r="F2" s="1143"/>
      <c r="G2" s="1143"/>
    </row>
    <row r="3" spans="2:7" ht="15" customHeight="1">
      <c r="B3" s="210"/>
      <c r="C3" s="1157" t="s">
        <v>449</v>
      </c>
      <c r="D3" s="1157"/>
      <c r="E3" s="1157"/>
      <c r="F3" s="1157"/>
      <c r="G3" s="1157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151">
        <v>1</v>
      </c>
      <c r="C6" s="175"/>
      <c r="D6" s="167"/>
      <c r="E6" s="167"/>
      <c r="F6" s="167"/>
      <c r="G6" s="219"/>
    </row>
    <row r="7" spans="2:7" ht="15" customHeight="1">
      <c r="B7" s="1152"/>
      <c r="C7" s="209" t="s">
        <v>28</v>
      </c>
      <c r="D7" s="167" t="s">
        <v>438</v>
      </c>
      <c r="E7" s="167" t="s">
        <v>427</v>
      </c>
      <c r="F7" s="167" t="s">
        <v>430</v>
      </c>
      <c r="G7" s="212">
        <v>600000</v>
      </c>
    </row>
    <row r="8" spans="2:7" ht="15" customHeight="1" thickBot="1">
      <c r="B8" s="1153"/>
      <c r="C8" s="173"/>
      <c r="D8" s="187"/>
      <c r="E8" s="187"/>
      <c r="F8" s="187"/>
      <c r="G8" s="217"/>
    </row>
    <row r="9" spans="2:7" ht="15" customHeight="1" thickBot="1">
      <c r="B9" s="185"/>
      <c r="C9" s="180"/>
      <c r="D9" s="179" t="s">
        <v>9</v>
      </c>
      <c r="E9" s="180"/>
      <c r="F9" s="180"/>
      <c r="G9" s="218">
        <f>SUM(G6:G8)</f>
        <v>600000</v>
      </c>
    </row>
    <row r="10" spans="2:7" ht="15" customHeight="1">
      <c r="B10" s="1154">
        <v>2</v>
      </c>
      <c r="C10" s="190"/>
      <c r="D10" s="167"/>
      <c r="E10" s="167"/>
      <c r="F10" s="167"/>
      <c r="G10" s="221"/>
    </row>
    <row r="11" spans="2:7" ht="15" customHeight="1">
      <c r="B11" s="1152"/>
      <c r="C11" s="1148" t="s">
        <v>404</v>
      </c>
      <c r="D11" s="167" t="s">
        <v>436</v>
      </c>
      <c r="E11" s="167" t="s">
        <v>427</v>
      </c>
      <c r="F11" s="167" t="s">
        <v>428</v>
      </c>
      <c r="G11" s="212">
        <v>1700000</v>
      </c>
    </row>
    <row r="12" spans="2:7" ht="15" customHeight="1" thickBot="1">
      <c r="B12" s="1153"/>
      <c r="C12" s="1150"/>
      <c r="D12" s="170"/>
      <c r="E12" s="170"/>
      <c r="F12" s="170"/>
      <c r="G12" s="216"/>
    </row>
    <row r="13" spans="2:7" ht="15" customHeight="1" thickBot="1">
      <c r="B13" s="193"/>
      <c r="C13" s="194"/>
      <c r="D13" s="195" t="s">
        <v>9</v>
      </c>
      <c r="E13" s="196"/>
      <c r="F13" s="196"/>
      <c r="G13" s="220">
        <f>SUM(G10:G12)</f>
        <v>1700000</v>
      </c>
    </row>
    <row r="14" spans="2:7" ht="15" customHeight="1">
      <c r="B14" s="1204">
        <v>3</v>
      </c>
      <c r="C14" s="198"/>
      <c r="D14" s="167" t="s">
        <v>431</v>
      </c>
      <c r="E14" s="167" t="s">
        <v>427</v>
      </c>
      <c r="F14" s="167" t="s">
        <v>427</v>
      </c>
      <c r="G14" s="212">
        <v>2500000</v>
      </c>
    </row>
    <row r="15" spans="2:7" ht="15" customHeight="1">
      <c r="B15" s="1164"/>
      <c r="C15" s="1148" t="s">
        <v>339</v>
      </c>
      <c r="D15" s="167" t="s">
        <v>432</v>
      </c>
      <c r="E15" s="167" t="s">
        <v>427</v>
      </c>
      <c r="F15" s="167" t="s">
        <v>428</v>
      </c>
      <c r="G15" s="212">
        <v>1800000</v>
      </c>
    </row>
    <row r="16" spans="2:7" ht="15" customHeight="1">
      <c r="B16" s="1164"/>
      <c r="C16" s="1149"/>
      <c r="D16" s="167" t="s">
        <v>433</v>
      </c>
      <c r="E16" s="167" t="s">
        <v>427</v>
      </c>
      <c r="F16" s="167" t="s">
        <v>429</v>
      </c>
      <c r="G16" s="212">
        <v>2500000</v>
      </c>
    </row>
    <row r="17" spans="2:7" ht="15" customHeight="1">
      <c r="B17" s="1164"/>
      <c r="C17" s="1149"/>
      <c r="D17" s="167" t="s">
        <v>434</v>
      </c>
      <c r="E17" s="167" t="s">
        <v>427</v>
      </c>
      <c r="F17" s="167" t="s">
        <v>435</v>
      </c>
      <c r="G17" s="212">
        <v>5000000</v>
      </c>
    </row>
    <row r="18" spans="2:7" ht="15" customHeight="1" thickBot="1">
      <c r="B18" s="1165"/>
      <c r="C18" s="1150"/>
      <c r="D18" s="173"/>
      <c r="E18" s="173"/>
      <c r="F18" s="173"/>
      <c r="G18" s="213"/>
    </row>
    <row r="19" spans="2:7" ht="15" customHeight="1" thickBot="1">
      <c r="B19" s="183"/>
      <c r="C19" s="178"/>
      <c r="D19" s="179" t="s">
        <v>9</v>
      </c>
      <c r="E19" s="180"/>
      <c r="F19" s="180"/>
      <c r="G19" s="218">
        <f>SUM(G14:G18)</f>
        <v>11800000</v>
      </c>
    </row>
    <row r="20" spans="2:7" ht="15" customHeight="1">
      <c r="B20" s="1154">
        <v>4</v>
      </c>
      <c r="C20" s="234"/>
      <c r="D20" s="164"/>
      <c r="E20" s="164"/>
      <c r="F20" s="163"/>
      <c r="G20" s="165"/>
    </row>
    <row r="21" spans="2:7" ht="15" customHeight="1">
      <c r="B21" s="1152"/>
      <c r="C21" s="1148" t="s">
        <v>346</v>
      </c>
      <c r="D21" s="167" t="s">
        <v>421</v>
      </c>
      <c r="E21" s="167" t="s">
        <v>427</v>
      </c>
      <c r="F21" s="167" t="s">
        <v>427</v>
      </c>
      <c r="G21" s="212">
        <v>2000000</v>
      </c>
    </row>
    <row r="22" spans="2:7" ht="15" customHeight="1">
      <c r="B22" s="1152"/>
      <c r="C22" s="1149"/>
      <c r="D22" s="167" t="s">
        <v>422</v>
      </c>
      <c r="E22" s="167" t="s">
        <v>427</v>
      </c>
      <c r="F22" s="167" t="s">
        <v>427</v>
      </c>
      <c r="G22" s="212">
        <v>4500000</v>
      </c>
    </row>
    <row r="23" spans="2:7" ht="15" customHeight="1">
      <c r="B23" s="1152"/>
      <c r="C23" s="1149"/>
      <c r="D23" s="167" t="s">
        <v>423</v>
      </c>
      <c r="E23" s="167" t="s">
        <v>427</v>
      </c>
      <c r="F23" s="167" t="s">
        <v>428</v>
      </c>
      <c r="G23" s="212">
        <v>1500000</v>
      </c>
    </row>
    <row r="24" spans="2:7" ht="15" customHeight="1">
      <c r="B24" s="1152"/>
      <c r="C24" s="1149"/>
      <c r="D24" s="167" t="s">
        <v>424</v>
      </c>
      <c r="E24" s="167" t="s">
        <v>427</v>
      </c>
      <c r="F24" s="167" t="s">
        <v>429</v>
      </c>
      <c r="G24" s="212">
        <v>4984521</v>
      </c>
    </row>
    <row r="25" spans="2:7" ht="15" customHeight="1">
      <c r="B25" s="1152"/>
      <c r="C25" s="1149"/>
      <c r="D25" s="167" t="s">
        <v>425</v>
      </c>
      <c r="E25" s="167" t="s">
        <v>427</v>
      </c>
      <c r="F25" s="167" t="s">
        <v>429</v>
      </c>
      <c r="G25" s="212">
        <v>3000000</v>
      </c>
    </row>
    <row r="26" spans="2:7" ht="15" customHeight="1" thickBot="1">
      <c r="B26" s="1152"/>
      <c r="C26" s="1150"/>
      <c r="D26" s="167" t="s">
        <v>426</v>
      </c>
      <c r="E26" s="167" t="s">
        <v>427</v>
      </c>
      <c r="F26" s="167" t="s">
        <v>430</v>
      </c>
      <c r="G26" s="212">
        <v>3400000</v>
      </c>
    </row>
    <row r="27" spans="2:7" ht="15" customHeight="1" thickBot="1">
      <c r="B27" s="185"/>
      <c r="C27" s="178"/>
      <c r="D27" s="179" t="s">
        <v>9</v>
      </c>
      <c r="E27" s="180"/>
      <c r="F27" s="180"/>
      <c r="G27" s="214">
        <f>SUM(G21:G26)</f>
        <v>19384521</v>
      </c>
    </row>
    <row r="28" spans="2:7" ht="15" customHeight="1">
      <c r="B28" s="1154">
        <v>5</v>
      </c>
      <c r="C28" s="1156" t="s">
        <v>399</v>
      </c>
      <c r="D28" s="167"/>
      <c r="E28" s="167"/>
      <c r="F28" s="167"/>
      <c r="G28" s="217"/>
    </row>
    <row r="29" spans="2:7" ht="15" customHeight="1">
      <c r="B29" s="1152"/>
      <c r="C29" s="1149"/>
      <c r="D29" s="167" t="s">
        <v>437</v>
      </c>
      <c r="E29" s="167" t="s">
        <v>427</v>
      </c>
      <c r="F29" s="167" t="s">
        <v>428</v>
      </c>
      <c r="G29" s="212">
        <v>3500000</v>
      </c>
    </row>
    <row r="30" spans="2:7" ht="15" customHeight="1">
      <c r="B30" s="1152"/>
      <c r="C30" s="1150"/>
      <c r="D30" s="167"/>
      <c r="E30" s="167"/>
      <c r="F30" s="167"/>
      <c r="G30" s="217"/>
    </row>
    <row r="31" spans="2:7" ht="15" customHeight="1" thickBot="1">
      <c r="B31" s="1153"/>
      <c r="C31" s="172"/>
      <c r="D31" s="187"/>
      <c r="E31" s="187"/>
      <c r="F31" s="187"/>
      <c r="G31" s="217"/>
    </row>
    <row r="32" spans="2:7" ht="15" customHeight="1" thickBot="1">
      <c r="B32" s="193"/>
      <c r="C32" s="194"/>
      <c r="D32" s="195" t="s">
        <v>9</v>
      </c>
      <c r="E32" s="196"/>
      <c r="F32" s="196"/>
      <c r="G32" s="220">
        <f>SUM(G28:G31)</f>
        <v>3500000</v>
      </c>
    </row>
    <row r="33" spans="2:7" ht="15" customHeight="1" thickBot="1">
      <c r="B33" s="166"/>
      <c r="C33" s="168"/>
      <c r="D33" s="170"/>
      <c r="E33" s="170"/>
      <c r="F33" s="170"/>
      <c r="G33" s="216"/>
    </row>
    <row r="34" spans="2:7" ht="15" customHeight="1" thickBot="1">
      <c r="B34" s="193"/>
      <c r="C34" s="194"/>
      <c r="D34" s="195" t="s">
        <v>439</v>
      </c>
      <c r="E34" s="196"/>
      <c r="F34" s="196"/>
      <c r="G34" s="220">
        <f>SUM(G13,G32,G9,G19,G27)</f>
        <v>36984521</v>
      </c>
    </row>
  </sheetData>
  <sheetProtection/>
  <mergeCells count="12">
    <mergeCell ref="B6:B8"/>
    <mergeCell ref="B10:B12"/>
    <mergeCell ref="B14:B18"/>
    <mergeCell ref="B20:B26"/>
    <mergeCell ref="B28:B31"/>
    <mergeCell ref="C28:C30"/>
    <mergeCell ref="C11:C12"/>
    <mergeCell ref="B1:G1"/>
    <mergeCell ref="B2:G2"/>
    <mergeCell ref="C3:G3"/>
    <mergeCell ref="C21:C26"/>
    <mergeCell ref="C15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98"/>
  <sheetViews>
    <sheetView zoomScalePageLayoutView="0" workbookViewId="0" topLeftCell="B82">
      <selection activeCell="I100" sqref="I100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4" customWidth="1"/>
    <col min="8" max="8" width="9.140625" style="1" customWidth="1"/>
    <col min="9" max="9" width="11.140625" style="266" bestFit="1" customWidth="1"/>
    <col min="10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/>
      <c r="C2" s="1143"/>
      <c r="D2" s="1143"/>
      <c r="E2" s="1143"/>
      <c r="F2" s="1143"/>
      <c r="G2" s="1143"/>
    </row>
    <row r="3" spans="2:7" ht="15" customHeight="1">
      <c r="B3" s="223"/>
      <c r="C3" s="1157" t="s">
        <v>957</v>
      </c>
      <c r="D3" s="1157"/>
      <c r="E3" s="1157"/>
      <c r="F3" s="1157"/>
      <c r="G3" s="1157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148">
        <v>1</v>
      </c>
      <c r="C6" s="1148" t="s">
        <v>367</v>
      </c>
      <c r="D6" s="167" t="str">
        <f>GOLBO!D7</f>
        <v>Construction and equipping of dining and kitchen at ATC at Misa</v>
      </c>
      <c r="E6" s="167" t="s">
        <v>363</v>
      </c>
      <c r="F6" s="167" t="s">
        <v>368</v>
      </c>
      <c r="G6" s="212">
        <v>5000000</v>
      </c>
    </row>
    <row r="7" spans="2:7" ht="15" customHeight="1">
      <c r="B7" s="1149"/>
      <c r="C7" s="1150"/>
      <c r="D7" s="167" t="s">
        <v>479</v>
      </c>
      <c r="E7" s="167" t="s">
        <v>464</v>
      </c>
      <c r="F7" s="167" t="s">
        <v>467</v>
      </c>
      <c r="G7" s="212">
        <v>600000</v>
      </c>
    </row>
    <row r="8" spans="2:7" ht="15" customHeight="1">
      <c r="B8" s="1149"/>
      <c r="C8" s="234"/>
      <c r="D8" s="167" t="s">
        <v>480</v>
      </c>
      <c r="E8" s="167" t="s">
        <v>464</v>
      </c>
      <c r="F8" s="167" t="s">
        <v>472</v>
      </c>
      <c r="G8" s="212">
        <v>2500000</v>
      </c>
    </row>
    <row r="9" spans="2:7" ht="15" customHeight="1">
      <c r="B9" s="1149"/>
      <c r="C9" s="234"/>
      <c r="D9" s="167" t="s">
        <v>451</v>
      </c>
      <c r="E9" s="167" t="s">
        <v>442</v>
      </c>
      <c r="F9" s="167" t="s">
        <v>442</v>
      </c>
      <c r="G9" s="212">
        <v>3435818</v>
      </c>
    </row>
    <row r="10" spans="2:7" ht="15" customHeight="1" thickBot="1">
      <c r="B10" s="1167"/>
      <c r="C10" s="234"/>
      <c r="D10" s="167" t="s">
        <v>438</v>
      </c>
      <c r="E10" s="167" t="s">
        <v>427</v>
      </c>
      <c r="F10" s="167" t="s">
        <v>430</v>
      </c>
      <c r="G10" s="212">
        <v>600000</v>
      </c>
    </row>
    <row r="11" spans="2:7" ht="13.5" thickBot="1">
      <c r="B11" s="194"/>
      <c r="C11" s="194"/>
      <c r="D11" s="195" t="s">
        <v>9</v>
      </c>
      <c r="E11" s="196"/>
      <c r="F11" s="196"/>
      <c r="G11" s="220">
        <f>SUM(G6:G10)</f>
        <v>12135818</v>
      </c>
    </row>
    <row r="12" spans="2:7" ht="15" customHeight="1">
      <c r="B12" s="1151">
        <v>2</v>
      </c>
      <c r="C12" s="1148" t="s">
        <v>404</v>
      </c>
      <c r="D12" s="187" t="s">
        <v>405</v>
      </c>
      <c r="E12" s="187" t="s">
        <v>388</v>
      </c>
      <c r="F12" s="187" t="s">
        <v>403</v>
      </c>
      <c r="G12" s="188">
        <v>2000000</v>
      </c>
    </row>
    <row r="13" spans="2:7" ht="15" customHeight="1">
      <c r="B13" s="1152"/>
      <c r="C13" s="1149"/>
      <c r="D13" s="173" t="s">
        <v>371</v>
      </c>
      <c r="E13" s="173" t="s">
        <v>363</v>
      </c>
      <c r="F13" s="173" t="s">
        <v>366</v>
      </c>
      <c r="G13" s="174">
        <v>2000000</v>
      </c>
    </row>
    <row r="14" spans="2:7" ht="15" customHeight="1">
      <c r="B14" s="1152"/>
      <c r="C14" s="1149"/>
      <c r="D14" s="173" t="s">
        <v>372</v>
      </c>
      <c r="E14" s="173" t="s">
        <v>363</v>
      </c>
      <c r="F14" s="173" t="s">
        <v>373</v>
      </c>
      <c r="G14" s="174">
        <v>2000000</v>
      </c>
    </row>
    <row r="15" spans="2:7" ht="15" customHeight="1">
      <c r="B15" s="1152"/>
      <c r="C15" s="1149"/>
      <c r="D15" s="173" t="s">
        <v>384</v>
      </c>
      <c r="E15" s="173" t="s">
        <v>363</v>
      </c>
      <c r="F15" s="173" t="s">
        <v>385</v>
      </c>
      <c r="G15" s="174">
        <v>2000000</v>
      </c>
    </row>
    <row r="16" spans="2:7" ht="15" customHeight="1">
      <c r="B16" s="1152"/>
      <c r="C16" s="1149"/>
      <c r="D16" s="167" t="s">
        <v>473</v>
      </c>
      <c r="E16" s="167" t="s">
        <v>464</v>
      </c>
      <c r="F16" s="167" t="s">
        <v>476</v>
      </c>
      <c r="G16" s="212">
        <v>1700000</v>
      </c>
    </row>
    <row r="17" spans="2:7" ht="15" customHeight="1">
      <c r="B17" s="1152"/>
      <c r="C17" s="1149"/>
      <c r="D17" s="167" t="s">
        <v>474</v>
      </c>
      <c r="E17" s="167" t="s">
        <v>464</v>
      </c>
      <c r="F17" s="167" t="s">
        <v>477</v>
      </c>
      <c r="G17" s="212">
        <v>500000</v>
      </c>
    </row>
    <row r="18" spans="2:7" ht="15" customHeight="1">
      <c r="B18" s="1152"/>
      <c r="C18" s="1149"/>
      <c r="D18" s="167" t="s">
        <v>475</v>
      </c>
      <c r="E18" s="167" t="s">
        <v>464</v>
      </c>
      <c r="F18" s="167" t="s">
        <v>478</v>
      </c>
      <c r="G18" s="212">
        <v>594402</v>
      </c>
    </row>
    <row r="19" spans="2:7" ht="15" customHeight="1">
      <c r="B19" s="1152"/>
      <c r="C19" s="1149"/>
      <c r="D19" s="167" t="s">
        <v>444</v>
      </c>
      <c r="E19" s="167" t="s">
        <v>442</v>
      </c>
      <c r="F19" s="167" t="s">
        <v>446</v>
      </c>
      <c r="G19" s="212">
        <f>SOLOLO!G11</f>
        <v>1700000</v>
      </c>
    </row>
    <row r="20" spans="2:7" ht="15" customHeight="1">
      <c r="B20" s="1152"/>
      <c r="C20" s="1149"/>
      <c r="D20" s="167" t="s">
        <v>445</v>
      </c>
      <c r="E20" s="167" t="s">
        <v>442</v>
      </c>
      <c r="F20" s="167" t="s">
        <v>447</v>
      </c>
      <c r="G20" s="212">
        <f>SOLOLO!G12</f>
        <v>1700000</v>
      </c>
    </row>
    <row r="21" spans="2:7" ht="15" customHeight="1">
      <c r="B21" s="1152"/>
      <c r="C21" s="1149"/>
      <c r="D21" s="167" t="s">
        <v>415</v>
      </c>
      <c r="E21" s="167" t="s">
        <v>336</v>
      </c>
      <c r="F21" s="167" t="s">
        <v>359</v>
      </c>
      <c r="G21" s="212">
        <f>TOWNSHIP!G6</f>
        <v>23000000</v>
      </c>
    </row>
    <row r="22" spans="2:7" ht="15" customHeight="1">
      <c r="B22" s="1152"/>
      <c r="C22" s="1149"/>
      <c r="D22" s="167" t="s">
        <v>389</v>
      </c>
      <c r="E22" s="167" t="s">
        <v>336</v>
      </c>
      <c r="F22" s="167" t="s">
        <v>360</v>
      </c>
      <c r="G22" s="212">
        <f>TOWNSHIP!G7</f>
        <v>4500000</v>
      </c>
    </row>
    <row r="23" spans="2:7" ht="15" customHeight="1" thickBot="1">
      <c r="B23" s="1152"/>
      <c r="C23" s="1149"/>
      <c r="D23" s="167" t="s">
        <v>436</v>
      </c>
      <c r="E23" s="167" t="s">
        <v>427</v>
      </c>
      <c r="F23" s="167" t="s">
        <v>428</v>
      </c>
      <c r="G23" s="212">
        <f>URAN!G11</f>
        <v>1700000</v>
      </c>
    </row>
    <row r="24" spans="2:7" ht="15" customHeight="1" thickBot="1">
      <c r="B24" s="194"/>
      <c r="C24" s="194"/>
      <c r="D24" s="195" t="s">
        <v>9</v>
      </c>
      <c r="E24" s="196"/>
      <c r="F24" s="196"/>
      <c r="G24" s="220">
        <f>SUM(G12:G23)</f>
        <v>43394402</v>
      </c>
    </row>
    <row r="25" spans="2:7" ht="15" customHeight="1">
      <c r="B25" s="1154">
        <v>3</v>
      </c>
      <c r="C25" s="1156" t="s">
        <v>0</v>
      </c>
      <c r="D25" s="173" t="s">
        <v>350</v>
      </c>
      <c r="E25" s="173" t="s">
        <v>344</v>
      </c>
      <c r="F25" s="173" t="s">
        <v>351</v>
      </c>
      <c r="G25" s="213">
        <v>7000000</v>
      </c>
    </row>
    <row r="26" spans="2:7" ht="15" customHeight="1">
      <c r="B26" s="1152"/>
      <c r="C26" s="1149"/>
      <c r="D26" s="173" t="s">
        <v>357</v>
      </c>
      <c r="E26" s="173" t="s">
        <v>344</v>
      </c>
      <c r="F26" s="173" t="s">
        <v>358</v>
      </c>
      <c r="G26" s="213">
        <v>3000000</v>
      </c>
    </row>
    <row r="27" spans="2:7" ht="15" customHeight="1">
      <c r="B27" s="1152"/>
      <c r="C27" s="1149"/>
      <c r="D27" s="173" t="s">
        <v>352</v>
      </c>
      <c r="E27" s="173" t="s">
        <v>344</v>
      </c>
      <c r="F27" s="173" t="s">
        <v>353</v>
      </c>
      <c r="G27" s="213">
        <v>3000000</v>
      </c>
    </row>
    <row r="28" spans="2:7" ht="15" customHeight="1">
      <c r="B28" s="1152"/>
      <c r="C28" s="1149"/>
      <c r="D28" s="170" t="s">
        <v>394</v>
      </c>
      <c r="E28" s="170" t="s">
        <v>388</v>
      </c>
      <c r="F28" s="170" t="s">
        <v>392</v>
      </c>
      <c r="G28" s="216">
        <v>1000000</v>
      </c>
    </row>
    <row r="29" spans="2:7" ht="15" customHeight="1">
      <c r="B29" s="1152"/>
      <c r="C29" s="1149"/>
      <c r="D29" s="187" t="s">
        <v>401</v>
      </c>
      <c r="E29" s="187" t="s">
        <v>388</v>
      </c>
      <c r="F29" s="187" t="s">
        <v>398</v>
      </c>
      <c r="G29" s="217">
        <v>2000000</v>
      </c>
    </row>
    <row r="30" spans="2:7" ht="15" customHeight="1">
      <c r="B30" s="1152"/>
      <c r="C30" s="1149"/>
      <c r="D30" s="187" t="s">
        <v>402</v>
      </c>
      <c r="E30" s="187" t="s">
        <v>388</v>
      </c>
      <c r="F30" s="187" t="s">
        <v>403</v>
      </c>
      <c r="G30" s="217">
        <v>1300000</v>
      </c>
    </row>
    <row r="31" spans="2:7" ht="15" customHeight="1">
      <c r="B31" s="1152"/>
      <c r="C31" s="1149"/>
      <c r="D31" s="173" t="s">
        <v>374</v>
      </c>
      <c r="E31" s="173" t="s">
        <v>363</v>
      </c>
      <c r="F31" s="173" t="s">
        <v>375</v>
      </c>
      <c r="G31" s="213">
        <v>7000000</v>
      </c>
    </row>
    <row r="32" spans="2:7" ht="15" customHeight="1">
      <c r="B32" s="1152"/>
      <c r="C32" s="1149"/>
      <c r="D32" s="173" t="s">
        <v>386</v>
      </c>
      <c r="E32" s="173" t="s">
        <v>363</v>
      </c>
      <c r="F32" s="173" t="s">
        <v>385</v>
      </c>
      <c r="G32" s="213">
        <v>4000000</v>
      </c>
    </row>
    <row r="33" spans="2:7" ht="15" customHeight="1">
      <c r="B33" s="1152"/>
      <c r="C33" s="1149"/>
      <c r="D33" s="167" t="s">
        <v>469</v>
      </c>
      <c r="E33" s="167" t="s">
        <v>464</v>
      </c>
      <c r="F33" s="167" t="s">
        <v>463</v>
      </c>
      <c r="G33" s="212">
        <v>3500000</v>
      </c>
    </row>
    <row r="34" spans="2:7" ht="15" customHeight="1">
      <c r="B34" s="1152"/>
      <c r="C34" s="1149"/>
      <c r="D34" s="167" t="s">
        <v>470</v>
      </c>
      <c r="E34" s="167" t="s">
        <v>464</v>
      </c>
      <c r="F34" s="167" t="s">
        <v>463</v>
      </c>
      <c r="G34" s="212">
        <v>1500000</v>
      </c>
    </row>
    <row r="35" spans="2:7" ht="15" customHeight="1">
      <c r="B35" s="1152"/>
      <c r="C35" s="1149"/>
      <c r="D35" s="167" t="s">
        <v>471</v>
      </c>
      <c r="E35" s="167" t="s">
        <v>464</v>
      </c>
      <c r="F35" s="167" t="s">
        <v>472</v>
      </c>
      <c r="G35" s="212">
        <v>5900000</v>
      </c>
    </row>
    <row r="36" spans="2:7" ht="15" customHeight="1">
      <c r="B36" s="1152"/>
      <c r="C36" s="1149"/>
      <c r="D36" s="167" t="s">
        <v>453</v>
      </c>
      <c r="E36" s="167" t="s">
        <v>442</v>
      </c>
      <c r="F36" s="167" t="s">
        <v>446</v>
      </c>
      <c r="G36" s="212">
        <v>5900000</v>
      </c>
    </row>
    <row r="37" spans="2:7" ht="15" customHeight="1">
      <c r="B37" s="1152"/>
      <c r="C37" s="1149"/>
      <c r="D37" s="167" t="s">
        <v>340</v>
      </c>
      <c r="E37" s="167" t="s">
        <v>336</v>
      </c>
      <c r="F37" s="167" t="s">
        <v>341</v>
      </c>
      <c r="G37" s="212">
        <v>500000</v>
      </c>
    </row>
    <row r="38" spans="2:7" ht="15" customHeight="1">
      <c r="B38" s="1152"/>
      <c r="C38" s="1149"/>
      <c r="D38" s="167" t="s">
        <v>431</v>
      </c>
      <c r="E38" s="167" t="s">
        <v>427</v>
      </c>
      <c r="F38" s="167" t="s">
        <v>427</v>
      </c>
      <c r="G38" s="212">
        <v>2500000</v>
      </c>
    </row>
    <row r="39" spans="2:7" ht="15" customHeight="1">
      <c r="B39" s="1152"/>
      <c r="C39" s="1149"/>
      <c r="D39" s="167" t="s">
        <v>432</v>
      </c>
      <c r="E39" s="167" t="s">
        <v>427</v>
      </c>
      <c r="F39" s="167" t="s">
        <v>428</v>
      </c>
      <c r="G39" s="212">
        <v>1800000</v>
      </c>
    </row>
    <row r="40" spans="2:7" ht="15" customHeight="1">
      <c r="B40" s="1152"/>
      <c r="C40" s="1149"/>
      <c r="D40" s="167" t="s">
        <v>433</v>
      </c>
      <c r="E40" s="167" t="s">
        <v>427</v>
      </c>
      <c r="F40" s="167" t="s">
        <v>429</v>
      </c>
      <c r="G40" s="212">
        <v>2500000</v>
      </c>
    </row>
    <row r="41" spans="2:7" ht="15" customHeight="1" thickBot="1">
      <c r="B41" s="1153"/>
      <c r="C41" s="1167"/>
      <c r="D41" s="167" t="s">
        <v>434</v>
      </c>
      <c r="E41" s="167" t="s">
        <v>427</v>
      </c>
      <c r="F41" s="167" t="s">
        <v>435</v>
      </c>
      <c r="G41" s="212">
        <v>5000000</v>
      </c>
    </row>
    <row r="42" spans="2:7" ht="15" customHeight="1" thickBot="1">
      <c r="B42" s="268"/>
      <c r="C42" s="178"/>
      <c r="D42" s="179" t="s">
        <v>9</v>
      </c>
      <c r="E42" s="180"/>
      <c r="F42" s="180"/>
      <c r="G42" s="218">
        <f>SUM(G25:G41)</f>
        <v>57400000</v>
      </c>
    </row>
    <row r="43" spans="2:7" ht="15" customHeight="1">
      <c r="B43" s="1158">
        <v>4</v>
      </c>
      <c r="C43" s="1154" t="s">
        <v>848</v>
      </c>
      <c r="D43" s="173" t="s">
        <v>387</v>
      </c>
      <c r="E43" s="173" t="s">
        <v>363</v>
      </c>
      <c r="F43" s="173" t="s">
        <v>364</v>
      </c>
      <c r="G43" s="213">
        <f>GOLBO!G22</f>
        <v>1700000</v>
      </c>
    </row>
    <row r="44" spans="2:7" ht="15" customHeight="1">
      <c r="B44" s="1159"/>
      <c r="C44" s="1152"/>
      <c r="D44" s="167" t="s">
        <v>343</v>
      </c>
      <c r="E44" s="167" t="s">
        <v>336</v>
      </c>
      <c r="F44" s="167" t="s">
        <v>359</v>
      </c>
      <c r="G44" s="212">
        <f>TOWNSHIP!G12</f>
        <v>1000000</v>
      </c>
    </row>
    <row r="45" spans="2:7" ht="15" customHeight="1" thickBot="1">
      <c r="B45" s="1159"/>
      <c r="C45" s="1152"/>
      <c r="D45" s="199"/>
      <c r="E45" s="200"/>
      <c r="F45" s="200"/>
      <c r="G45" s="267"/>
    </row>
    <row r="46" spans="2:7" ht="15" customHeight="1" thickBot="1">
      <c r="B46" s="178"/>
      <c r="C46" s="180"/>
      <c r="D46" s="179" t="s">
        <v>9</v>
      </c>
      <c r="E46" s="180"/>
      <c r="F46" s="180"/>
      <c r="G46" s="218">
        <f>SUM(G43:G45)</f>
        <v>2700000</v>
      </c>
    </row>
    <row r="47" spans="2:7" ht="15" customHeight="1">
      <c r="B47" s="1154">
        <v>5</v>
      </c>
      <c r="C47" s="198"/>
      <c r="D47" s="173" t="s">
        <v>354</v>
      </c>
      <c r="E47" s="173" t="s">
        <v>344</v>
      </c>
      <c r="F47" s="173" t="s">
        <v>356</v>
      </c>
      <c r="G47" s="213">
        <v>7000000</v>
      </c>
    </row>
    <row r="48" spans="2:7" ht="15" customHeight="1">
      <c r="B48" s="1152"/>
      <c r="C48" s="1148" t="s">
        <v>390</v>
      </c>
      <c r="D48" s="176" t="s">
        <v>391</v>
      </c>
      <c r="E48" s="176" t="s">
        <v>388</v>
      </c>
      <c r="F48" s="176" t="s">
        <v>392</v>
      </c>
      <c r="G48" s="248">
        <v>1000000</v>
      </c>
    </row>
    <row r="49" spans="2:7" ht="15" customHeight="1">
      <c r="B49" s="1152"/>
      <c r="C49" s="1149"/>
      <c r="D49" s="187" t="s">
        <v>408</v>
      </c>
      <c r="E49" s="187" t="s">
        <v>388</v>
      </c>
      <c r="F49" s="187" t="s">
        <v>403</v>
      </c>
      <c r="G49" s="217">
        <v>4000000</v>
      </c>
    </row>
    <row r="50" spans="2:7" ht="15" customHeight="1" thickBot="1">
      <c r="B50" s="1152"/>
      <c r="C50" s="1149"/>
      <c r="D50" s="187" t="s">
        <v>409</v>
      </c>
      <c r="E50" s="187" t="s">
        <v>388</v>
      </c>
      <c r="F50" s="187" t="s">
        <v>410</v>
      </c>
      <c r="G50" s="217">
        <v>4000000</v>
      </c>
    </row>
    <row r="51" spans="2:7" ht="15" customHeight="1" thickBot="1">
      <c r="B51" s="178"/>
      <c r="C51" s="180"/>
      <c r="D51" s="179" t="s">
        <v>9</v>
      </c>
      <c r="E51" s="180"/>
      <c r="F51" s="180"/>
      <c r="G51" s="218">
        <f>SUM(G47:G50)</f>
        <v>16000000</v>
      </c>
    </row>
    <row r="52" spans="2:9" ht="14.25" customHeight="1">
      <c r="B52" s="1154">
        <v>6</v>
      </c>
      <c r="C52" s="1156" t="s">
        <v>399</v>
      </c>
      <c r="D52" s="187" t="s">
        <v>400</v>
      </c>
      <c r="E52" s="187" t="s">
        <v>388</v>
      </c>
      <c r="F52" s="187" t="s">
        <v>398</v>
      </c>
      <c r="G52" s="217">
        <f>'HEILU MANYATTA'!G21</f>
        <v>6000000</v>
      </c>
      <c r="I52" s="1"/>
    </row>
    <row r="53" spans="2:9" ht="15" customHeight="1">
      <c r="B53" s="1152"/>
      <c r="C53" s="1149"/>
      <c r="D53" s="187" t="s">
        <v>413</v>
      </c>
      <c r="E53" s="187" t="s">
        <v>388</v>
      </c>
      <c r="F53" s="187" t="s">
        <v>410</v>
      </c>
      <c r="G53" s="217">
        <f>'HEILU MANYATTA'!G22</f>
        <v>3000000</v>
      </c>
      <c r="I53" s="1"/>
    </row>
    <row r="54" spans="2:9" ht="15" customHeight="1">
      <c r="B54" s="1152"/>
      <c r="C54" s="1149"/>
      <c r="D54" s="167" t="s">
        <v>465</v>
      </c>
      <c r="E54" s="167" t="s">
        <v>464</v>
      </c>
      <c r="F54" s="167" t="s">
        <v>467</v>
      </c>
      <c r="G54" s="212">
        <f>OBBU!G22</f>
        <v>4300000</v>
      </c>
      <c r="I54" s="1"/>
    </row>
    <row r="55" spans="2:9" ht="15" customHeight="1">
      <c r="B55" s="1152"/>
      <c r="C55" s="1149"/>
      <c r="D55" s="167" t="s">
        <v>466</v>
      </c>
      <c r="E55" s="167" t="s">
        <v>464</v>
      </c>
      <c r="F55" s="167" t="s">
        <v>468</v>
      </c>
      <c r="G55" s="212">
        <f>OBBU!G23</f>
        <v>2300000</v>
      </c>
      <c r="I55" s="1"/>
    </row>
    <row r="56" spans="2:9" ht="15" customHeight="1">
      <c r="B56" s="1152"/>
      <c r="C56" s="1149"/>
      <c r="D56" s="167" t="s">
        <v>454</v>
      </c>
      <c r="E56" s="167" t="s">
        <v>442</v>
      </c>
      <c r="F56" s="167" t="s">
        <v>455</v>
      </c>
      <c r="G56" s="212">
        <f>SOLOLO!G26</f>
        <v>3000000</v>
      </c>
      <c r="I56" s="1"/>
    </row>
    <row r="57" spans="2:9" ht="15" customHeight="1" thickBot="1">
      <c r="B57" s="1153"/>
      <c r="C57" s="1167"/>
      <c r="D57" s="167" t="s">
        <v>437</v>
      </c>
      <c r="E57" s="167" t="s">
        <v>427</v>
      </c>
      <c r="F57" s="167" t="s">
        <v>428</v>
      </c>
      <c r="G57" s="212">
        <f>URAN!G29</f>
        <v>3500000</v>
      </c>
      <c r="I57" s="1"/>
    </row>
    <row r="58" spans="2:7" ht="15" customHeight="1" thickBot="1">
      <c r="B58" s="194"/>
      <c r="C58" s="194"/>
      <c r="D58" s="195" t="s">
        <v>9</v>
      </c>
      <c r="E58" s="196"/>
      <c r="F58" s="196"/>
      <c r="G58" s="220">
        <f>SUM(G52:G57)</f>
        <v>22100000</v>
      </c>
    </row>
    <row r="59" spans="2:7" ht="15" customHeight="1">
      <c r="B59" s="1154">
        <v>7</v>
      </c>
      <c r="C59" s="1156" t="s">
        <v>346</v>
      </c>
      <c r="D59" s="176" t="s">
        <v>361</v>
      </c>
      <c r="E59" s="176" t="s">
        <v>344</v>
      </c>
      <c r="F59" s="176" t="s">
        <v>338</v>
      </c>
      <c r="G59" s="248">
        <v>4000000</v>
      </c>
    </row>
    <row r="60" spans="2:7" ht="15" customHeight="1">
      <c r="B60" s="1152"/>
      <c r="C60" s="1149"/>
      <c r="D60" s="167" t="s">
        <v>345</v>
      </c>
      <c r="E60" s="167" t="s">
        <v>344</v>
      </c>
      <c r="F60" s="167" t="s">
        <v>347</v>
      </c>
      <c r="G60" s="212">
        <v>8000000</v>
      </c>
    </row>
    <row r="61" spans="2:7" ht="15" customHeight="1">
      <c r="B61" s="1152"/>
      <c r="C61" s="1149"/>
      <c r="D61" s="167" t="s">
        <v>348</v>
      </c>
      <c r="E61" s="167" t="s">
        <v>344</v>
      </c>
      <c r="F61" s="167" t="s">
        <v>349</v>
      </c>
      <c r="G61" s="212">
        <v>8000000</v>
      </c>
    </row>
    <row r="62" spans="2:7" ht="15" customHeight="1">
      <c r="B62" s="1152"/>
      <c r="C62" s="1149"/>
      <c r="D62" s="167" t="s">
        <v>393</v>
      </c>
      <c r="E62" s="167" t="s">
        <v>388</v>
      </c>
      <c r="F62" s="167" t="s">
        <v>392</v>
      </c>
      <c r="G62" s="212">
        <v>2000000</v>
      </c>
    </row>
    <row r="63" spans="2:7" ht="15" customHeight="1">
      <c r="B63" s="1152"/>
      <c r="C63" s="1149"/>
      <c r="D63" s="170" t="s">
        <v>395</v>
      </c>
      <c r="E63" s="170" t="s">
        <v>388</v>
      </c>
      <c r="F63" s="170" t="s">
        <v>392</v>
      </c>
      <c r="G63" s="216">
        <v>3000000</v>
      </c>
    </row>
    <row r="64" spans="2:7" ht="15" customHeight="1">
      <c r="B64" s="1152"/>
      <c r="C64" s="1149"/>
      <c r="D64" s="170" t="s">
        <v>396</v>
      </c>
      <c r="E64" s="170" t="s">
        <v>388</v>
      </c>
      <c r="F64" s="170" t="s">
        <v>392</v>
      </c>
      <c r="G64" s="216">
        <v>3000000</v>
      </c>
    </row>
    <row r="65" spans="2:7" ht="15" customHeight="1">
      <c r="B65" s="1152"/>
      <c r="C65" s="1149"/>
      <c r="D65" s="170" t="s">
        <v>397</v>
      </c>
      <c r="E65" s="170" t="s">
        <v>388</v>
      </c>
      <c r="F65" s="170" t="s">
        <v>398</v>
      </c>
      <c r="G65" s="216">
        <v>4000000</v>
      </c>
    </row>
    <row r="66" spans="2:7" ht="15" customHeight="1">
      <c r="B66" s="1152"/>
      <c r="C66" s="1149"/>
      <c r="D66" s="187" t="s">
        <v>411</v>
      </c>
      <c r="E66" s="187" t="s">
        <v>388</v>
      </c>
      <c r="F66" s="187" t="s">
        <v>410</v>
      </c>
      <c r="G66" s="217">
        <v>2000000</v>
      </c>
    </row>
    <row r="67" spans="2:7" ht="15" customHeight="1">
      <c r="B67" s="1152"/>
      <c r="C67" s="1149"/>
      <c r="D67" s="187" t="s">
        <v>412</v>
      </c>
      <c r="E67" s="187" t="s">
        <v>388</v>
      </c>
      <c r="F67" s="187" t="s">
        <v>410</v>
      </c>
      <c r="G67" s="217">
        <v>700000</v>
      </c>
    </row>
    <row r="68" spans="2:7" ht="15" customHeight="1">
      <c r="B68" s="1152"/>
      <c r="C68" s="1149"/>
      <c r="D68" s="202" t="s">
        <v>849</v>
      </c>
      <c r="E68" s="167" t="s">
        <v>363</v>
      </c>
      <c r="F68" s="167" t="s">
        <v>364</v>
      </c>
      <c r="G68" s="212">
        <v>8000000</v>
      </c>
    </row>
    <row r="69" spans="2:7" ht="15" customHeight="1">
      <c r="B69" s="1152"/>
      <c r="C69" s="1149"/>
      <c r="D69" s="167" t="s">
        <v>365</v>
      </c>
      <c r="E69" s="167" t="s">
        <v>363</v>
      </c>
      <c r="F69" s="167" t="s">
        <v>366</v>
      </c>
      <c r="G69" s="212">
        <v>5000000</v>
      </c>
    </row>
    <row r="70" spans="2:7" ht="15" customHeight="1">
      <c r="B70" s="1152"/>
      <c r="C70" s="1149"/>
      <c r="D70" s="173" t="s">
        <v>376</v>
      </c>
      <c r="E70" s="173" t="s">
        <v>363</v>
      </c>
      <c r="F70" s="173" t="s">
        <v>377</v>
      </c>
      <c r="G70" s="213">
        <v>5000000</v>
      </c>
    </row>
    <row r="71" spans="2:7" ht="15" customHeight="1">
      <c r="B71" s="1152"/>
      <c r="C71" s="1149"/>
      <c r="D71" s="173" t="s">
        <v>378</v>
      </c>
      <c r="E71" s="173" t="s">
        <v>363</v>
      </c>
      <c r="F71" s="173" t="s">
        <v>379</v>
      </c>
      <c r="G71" s="213">
        <v>2000000</v>
      </c>
    </row>
    <row r="72" spans="2:7" ht="15" customHeight="1">
      <c r="B72" s="1152"/>
      <c r="C72" s="1149"/>
      <c r="D72" s="173" t="s">
        <v>380</v>
      </c>
      <c r="E72" s="173" t="s">
        <v>363</v>
      </c>
      <c r="F72" s="173" t="s">
        <v>381</v>
      </c>
      <c r="G72" s="213">
        <v>5000000</v>
      </c>
    </row>
    <row r="73" spans="2:7" ht="15" customHeight="1">
      <c r="B73" s="1152"/>
      <c r="C73" s="1149"/>
      <c r="D73" s="173" t="s">
        <v>382</v>
      </c>
      <c r="E73" s="173" t="s">
        <v>363</v>
      </c>
      <c r="F73" s="173" t="s">
        <v>383</v>
      </c>
      <c r="G73" s="213">
        <v>3000000</v>
      </c>
    </row>
    <row r="74" spans="2:7" ht="15" customHeight="1">
      <c r="B74" s="1152"/>
      <c r="C74" s="1149"/>
      <c r="D74" s="167" t="s">
        <v>458</v>
      </c>
      <c r="E74" s="167" t="s">
        <v>464</v>
      </c>
      <c r="F74" s="167" t="s">
        <v>461</v>
      </c>
      <c r="G74" s="212">
        <v>1500000</v>
      </c>
    </row>
    <row r="75" spans="2:7" ht="15" customHeight="1">
      <c r="B75" s="1152"/>
      <c r="C75" s="1149"/>
      <c r="D75" s="167" t="s">
        <v>459</v>
      </c>
      <c r="E75" s="167" t="s">
        <v>464</v>
      </c>
      <c r="F75" s="167" t="s">
        <v>462</v>
      </c>
      <c r="G75" s="212">
        <v>3300000</v>
      </c>
    </row>
    <row r="76" spans="2:7" ht="15" customHeight="1">
      <c r="B76" s="1152"/>
      <c r="C76" s="1149"/>
      <c r="D76" s="167" t="s">
        <v>460</v>
      </c>
      <c r="E76" s="167" t="s">
        <v>464</v>
      </c>
      <c r="F76" s="167" t="s">
        <v>463</v>
      </c>
      <c r="G76" s="212">
        <v>3500000</v>
      </c>
    </row>
    <row r="77" spans="2:7" ht="15" customHeight="1">
      <c r="B77" s="1152"/>
      <c r="C77" s="1149"/>
      <c r="D77" s="167" t="s">
        <v>448</v>
      </c>
      <c r="E77" s="167" t="s">
        <v>442</v>
      </c>
      <c r="F77" s="167" t="s">
        <v>442</v>
      </c>
      <c r="G77" s="212">
        <v>2000000</v>
      </c>
    </row>
    <row r="78" spans="2:7" ht="15" customHeight="1">
      <c r="B78" s="1152"/>
      <c r="C78" s="1149"/>
      <c r="D78" s="167" t="s">
        <v>440</v>
      </c>
      <c r="E78" s="167" t="s">
        <v>442</v>
      </c>
      <c r="F78" s="167" t="s">
        <v>442</v>
      </c>
      <c r="G78" s="212">
        <v>4000000</v>
      </c>
    </row>
    <row r="79" spans="2:7" ht="15" customHeight="1">
      <c r="B79" s="1152"/>
      <c r="C79" s="1149"/>
      <c r="D79" s="167" t="s">
        <v>441</v>
      </c>
      <c r="E79" s="167" t="s">
        <v>442</v>
      </c>
      <c r="F79" s="167" t="s">
        <v>443</v>
      </c>
      <c r="G79" s="212">
        <v>3000000</v>
      </c>
    </row>
    <row r="80" spans="2:7" ht="15" customHeight="1">
      <c r="B80" s="1152"/>
      <c r="C80" s="1149"/>
      <c r="D80" s="167" t="s">
        <v>361</v>
      </c>
      <c r="E80" s="167" t="s">
        <v>336</v>
      </c>
      <c r="F80" s="167" t="s">
        <v>338</v>
      </c>
      <c r="G80" s="212">
        <v>4000000</v>
      </c>
    </row>
    <row r="81" spans="2:7" ht="15" customHeight="1">
      <c r="B81" s="1152"/>
      <c r="C81" s="1149"/>
      <c r="D81" s="167" t="s">
        <v>421</v>
      </c>
      <c r="E81" s="167" t="s">
        <v>427</v>
      </c>
      <c r="F81" s="167" t="s">
        <v>427</v>
      </c>
      <c r="G81" s="212">
        <v>2000000</v>
      </c>
    </row>
    <row r="82" spans="2:7" ht="15" customHeight="1">
      <c r="B82" s="1152"/>
      <c r="C82" s="1149"/>
      <c r="D82" s="167" t="s">
        <v>422</v>
      </c>
      <c r="E82" s="167" t="s">
        <v>427</v>
      </c>
      <c r="F82" s="167" t="s">
        <v>427</v>
      </c>
      <c r="G82" s="212">
        <v>4500000</v>
      </c>
    </row>
    <row r="83" spans="2:7" ht="15" customHeight="1">
      <c r="B83" s="1152"/>
      <c r="C83" s="1149"/>
      <c r="D83" s="167" t="s">
        <v>423</v>
      </c>
      <c r="E83" s="167" t="s">
        <v>427</v>
      </c>
      <c r="F83" s="167" t="s">
        <v>428</v>
      </c>
      <c r="G83" s="212">
        <v>1500000</v>
      </c>
    </row>
    <row r="84" spans="2:7" ht="15" customHeight="1">
      <c r="B84" s="1152"/>
      <c r="C84" s="1149"/>
      <c r="D84" s="167" t="s">
        <v>424</v>
      </c>
      <c r="E84" s="167" t="s">
        <v>427</v>
      </c>
      <c r="F84" s="167" t="s">
        <v>429</v>
      </c>
      <c r="G84" s="212">
        <v>4984521</v>
      </c>
    </row>
    <row r="85" spans="2:7" ht="15" customHeight="1">
      <c r="B85" s="1152"/>
      <c r="C85" s="1149"/>
      <c r="D85" s="167" t="s">
        <v>425</v>
      </c>
      <c r="E85" s="167" t="s">
        <v>427</v>
      </c>
      <c r="F85" s="167" t="s">
        <v>429</v>
      </c>
      <c r="G85" s="212">
        <v>3000000</v>
      </c>
    </row>
    <row r="86" spans="2:7" ht="15" customHeight="1" thickBot="1">
      <c r="B86" s="1153"/>
      <c r="C86" s="1167"/>
      <c r="D86" s="167" t="s">
        <v>426</v>
      </c>
      <c r="E86" s="167" t="s">
        <v>427</v>
      </c>
      <c r="F86" s="167" t="s">
        <v>430</v>
      </c>
      <c r="G86" s="212">
        <v>3400000</v>
      </c>
    </row>
    <row r="87" spans="2:7" ht="15" customHeight="1" thickBot="1">
      <c r="B87" s="178"/>
      <c r="C87" s="178"/>
      <c r="D87" s="179" t="s">
        <v>9</v>
      </c>
      <c r="E87" s="180"/>
      <c r="F87" s="180"/>
      <c r="G87" s="214">
        <f>SUM(G59:G86)</f>
        <v>103384521</v>
      </c>
    </row>
    <row r="88" spans="2:7" ht="15" customHeight="1">
      <c r="B88" s="1154">
        <v>8</v>
      </c>
      <c r="C88" s="168"/>
      <c r="D88" s="170"/>
      <c r="E88" s="170"/>
      <c r="F88" s="170"/>
      <c r="G88" s="216"/>
    </row>
    <row r="89" spans="2:3" ht="15" customHeight="1">
      <c r="B89" s="1152"/>
      <c r="C89" s="1148" t="s">
        <v>190</v>
      </c>
    </row>
    <row r="90" spans="2:7" ht="15" customHeight="1">
      <c r="B90" s="1152"/>
      <c r="C90" s="1150"/>
      <c r="D90" s="170"/>
      <c r="E90" s="170"/>
      <c r="F90" s="170"/>
      <c r="G90" s="216"/>
    </row>
    <row r="91" spans="2:7" ht="15" customHeight="1" thickBot="1">
      <c r="B91" s="1153"/>
      <c r="C91" s="168"/>
      <c r="D91" s="170"/>
      <c r="E91" s="170"/>
      <c r="F91" s="170"/>
      <c r="G91" s="216"/>
    </row>
    <row r="92" spans="2:7" ht="15" customHeight="1" thickBot="1">
      <c r="B92" s="194"/>
      <c r="C92" s="194"/>
      <c r="D92" s="195" t="s">
        <v>9</v>
      </c>
      <c r="E92" s="196"/>
      <c r="F92" s="196"/>
      <c r="G92" s="220">
        <f>SUM(G88:G91)</f>
        <v>0</v>
      </c>
    </row>
    <row r="93" spans="2:7" ht="15" customHeight="1">
      <c r="B93" s="1154">
        <v>9</v>
      </c>
      <c r="C93" s="1156" t="s">
        <v>406</v>
      </c>
      <c r="D93" s="231"/>
      <c r="E93" s="232"/>
      <c r="F93" s="232"/>
      <c r="G93" s="263"/>
    </row>
    <row r="94" spans="2:7" ht="15" customHeight="1">
      <c r="B94" s="1152"/>
      <c r="C94" s="1149"/>
      <c r="D94" s="187" t="s">
        <v>407</v>
      </c>
      <c r="E94" s="187" t="s">
        <v>388</v>
      </c>
      <c r="F94" s="187" t="s">
        <v>403</v>
      </c>
      <c r="G94" s="217">
        <f>'HEILU MANYATTA'!G35</f>
        <v>4000000</v>
      </c>
    </row>
    <row r="95" spans="2:7" ht="15" customHeight="1">
      <c r="B95" s="1152"/>
      <c r="C95" s="1149"/>
      <c r="D95" s="202" t="s">
        <v>850</v>
      </c>
      <c r="E95" s="167" t="s">
        <v>363</v>
      </c>
      <c r="F95" s="167" t="s">
        <v>364</v>
      </c>
      <c r="G95" s="212">
        <f>GOLBO!G34</f>
        <v>6000000</v>
      </c>
    </row>
    <row r="96" spans="2:7" ht="15" customHeight="1" thickBot="1">
      <c r="B96" s="1153"/>
      <c r="C96" s="1167"/>
      <c r="D96" s="167" t="s">
        <v>450</v>
      </c>
      <c r="E96" s="167" t="s">
        <v>442</v>
      </c>
      <c r="F96" s="167" t="s">
        <v>442</v>
      </c>
      <c r="G96" s="212">
        <f>SOLOLO!G30</f>
        <v>3400000</v>
      </c>
    </row>
    <row r="97" spans="2:7" ht="15" customHeight="1" thickBot="1">
      <c r="B97" s="194"/>
      <c r="C97" s="194"/>
      <c r="D97" s="195" t="s">
        <v>9</v>
      </c>
      <c r="E97" s="196"/>
      <c r="F97" s="196"/>
      <c r="G97" s="220">
        <f>SUM(G93:G96)</f>
        <v>13400000</v>
      </c>
    </row>
    <row r="98" spans="2:7" ht="15" customHeight="1" thickBot="1">
      <c r="B98" s="194"/>
      <c r="C98" s="194"/>
      <c r="D98" s="195" t="s">
        <v>958</v>
      </c>
      <c r="E98" s="196"/>
      <c r="F98" s="196"/>
      <c r="G98" s="220">
        <f>SUM(G97,G92,G87,G58,G51,G46,G42,G24,G11)</f>
        <v>270514741</v>
      </c>
    </row>
  </sheetData>
  <sheetProtection/>
  <mergeCells count="21">
    <mergeCell ref="B1:G1"/>
    <mergeCell ref="B2:G2"/>
    <mergeCell ref="C3:G3"/>
    <mergeCell ref="B6:B10"/>
    <mergeCell ref="B12:B23"/>
    <mergeCell ref="C12:C23"/>
    <mergeCell ref="C6:C7"/>
    <mergeCell ref="B25:B41"/>
    <mergeCell ref="C25:C41"/>
    <mergeCell ref="B47:B50"/>
    <mergeCell ref="B43:B45"/>
    <mergeCell ref="C43:C45"/>
    <mergeCell ref="C48:C50"/>
    <mergeCell ref="B52:B57"/>
    <mergeCell ref="C52:C57"/>
    <mergeCell ref="C59:C86"/>
    <mergeCell ref="B59:B86"/>
    <mergeCell ref="B93:B96"/>
    <mergeCell ref="C93:C96"/>
    <mergeCell ref="B88:B91"/>
    <mergeCell ref="C89:C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9">
      <selection activeCell="D27" sqref="D27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27.140625" style="273" bestFit="1" customWidth="1"/>
    <col min="4" max="4" width="62.421875" style="273" customWidth="1"/>
    <col min="5" max="5" width="16.00390625" style="273" customWidth="1"/>
    <col min="6" max="6" width="22.57421875" style="273" customWidth="1"/>
    <col min="7" max="7" width="19.421875" style="304" customWidth="1"/>
    <col min="8" max="16384" width="9.140625" style="273" customWidth="1"/>
  </cols>
  <sheetData>
    <row r="1" spans="2:8" ht="15" customHeight="1">
      <c r="B1" s="1209" t="s">
        <v>334</v>
      </c>
      <c r="C1" s="1209"/>
      <c r="D1" s="1209"/>
      <c r="E1" s="1209"/>
      <c r="F1" s="1209"/>
      <c r="G1" s="1209"/>
      <c r="H1" s="1209"/>
    </row>
    <row r="2" spans="2:8" ht="15" customHeight="1">
      <c r="B2" s="1210" t="s">
        <v>492</v>
      </c>
      <c r="C2" s="1210"/>
      <c r="D2" s="1210"/>
      <c r="E2" s="1210"/>
      <c r="F2" s="1210"/>
      <c r="G2" s="1210"/>
      <c r="H2" s="1210"/>
    </row>
    <row r="3" spans="2:8" ht="15" customHeight="1">
      <c r="B3" s="274"/>
      <c r="C3" s="1211" t="s">
        <v>498</v>
      </c>
      <c r="D3" s="1211"/>
      <c r="E3" s="1211"/>
      <c r="F3" s="1211"/>
      <c r="G3" s="1211"/>
      <c r="H3" s="1211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.75" customHeight="1">
      <c r="B6" s="1217">
        <v>1</v>
      </c>
      <c r="C6" s="1216" t="s">
        <v>489</v>
      </c>
      <c r="D6" s="279" t="s">
        <v>854</v>
      </c>
      <c r="E6" s="280" t="s">
        <v>863</v>
      </c>
      <c r="F6" s="279" t="s">
        <v>864</v>
      </c>
      <c r="G6" s="281">
        <v>1000000</v>
      </c>
    </row>
    <row r="7" spans="2:7" ht="15.75" customHeight="1">
      <c r="B7" s="1208"/>
      <c r="C7" s="1206"/>
      <c r="D7" s="279" t="s">
        <v>855</v>
      </c>
      <c r="E7" s="280" t="s">
        <v>863</v>
      </c>
      <c r="F7" s="279" t="s">
        <v>865</v>
      </c>
      <c r="G7" s="281">
        <v>1000000</v>
      </c>
    </row>
    <row r="8" spans="2:7" ht="15.75" customHeight="1">
      <c r="B8" s="1208"/>
      <c r="C8" s="1206"/>
      <c r="D8" s="279" t="s">
        <v>856</v>
      </c>
      <c r="E8" s="280" t="s">
        <v>863</v>
      </c>
      <c r="F8" s="279" t="s">
        <v>864</v>
      </c>
      <c r="G8" s="281">
        <v>1000000</v>
      </c>
    </row>
    <row r="9" spans="2:7" ht="15.75" customHeight="1">
      <c r="B9" s="1208"/>
      <c r="C9" s="1206"/>
      <c r="D9" s="279" t="s">
        <v>859</v>
      </c>
      <c r="E9" s="280" t="s">
        <v>863</v>
      </c>
      <c r="F9" s="279" t="s">
        <v>865</v>
      </c>
      <c r="G9" s="281">
        <v>1000000</v>
      </c>
    </row>
    <row r="10" spans="2:7" ht="15.75" customHeight="1">
      <c r="B10" s="1208"/>
      <c r="C10" s="1206"/>
      <c r="D10" s="279" t="s">
        <v>860</v>
      </c>
      <c r="E10" s="280" t="s">
        <v>863</v>
      </c>
      <c r="F10" s="279" t="s">
        <v>864</v>
      </c>
      <c r="G10" s="281">
        <v>2900000</v>
      </c>
    </row>
    <row r="11" spans="2:7" ht="15.75" customHeight="1">
      <c r="B11" s="1208"/>
      <c r="C11" s="1206"/>
      <c r="D11" s="279" t="s">
        <v>861</v>
      </c>
      <c r="E11" s="280" t="s">
        <v>863</v>
      </c>
      <c r="F11" s="279" t="s">
        <v>864</v>
      </c>
      <c r="G11" s="282">
        <v>1000000</v>
      </c>
    </row>
    <row r="12" spans="2:7" ht="15" customHeight="1">
      <c r="B12" s="1208"/>
      <c r="C12" s="1206"/>
      <c r="D12" s="279" t="s">
        <v>857</v>
      </c>
      <c r="E12" s="280" t="s">
        <v>863</v>
      </c>
      <c r="F12" s="279" t="s">
        <v>865</v>
      </c>
      <c r="G12" s="281">
        <v>800000</v>
      </c>
    </row>
    <row r="13" spans="2:7" ht="15" customHeight="1">
      <c r="B13" s="1208"/>
      <c r="C13" s="1206"/>
      <c r="D13" s="279" t="s">
        <v>858</v>
      </c>
      <c r="E13" s="280" t="s">
        <v>863</v>
      </c>
      <c r="F13" s="279" t="s">
        <v>865</v>
      </c>
      <c r="G13" s="281">
        <v>1500000</v>
      </c>
    </row>
    <row r="14" spans="2:7" ht="15" customHeight="1" thickBot="1">
      <c r="B14" s="1214"/>
      <c r="C14" s="1215"/>
      <c r="D14" s="279" t="s">
        <v>862</v>
      </c>
      <c r="E14" s="280" t="s">
        <v>863</v>
      </c>
      <c r="F14" s="283" t="s">
        <v>866</v>
      </c>
      <c r="G14" s="281">
        <v>2500000</v>
      </c>
    </row>
    <row r="15" spans="2:7" ht="15" customHeight="1" thickBot="1">
      <c r="B15" s="284"/>
      <c r="C15" s="285"/>
      <c r="D15" s="286"/>
      <c r="E15" s="287"/>
      <c r="F15" s="287"/>
      <c r="G15" s="288">
        <f>SUM(G6:G14)</f>
        <v>12700000</v>
      </c>
    </row>
    <row r="16" spans="2:7" ht="15" customHeight="1">
      <c r="B16" s="1207">
        <v>2</v>
      </c>
      <c r="C16" s="1205" t="s">
        <v>27</v>
      </c>
      <c r="D16" s="289" t="s">
        <v>882</v>
      </c>
      <c r="E16" s="280" t="s">
        <v>863</v>
      </c>
      <c r="F16" s="279" t="s">
        <v>864</v>
      </c>
      <c r="G16" s="281">
        <v>3600000</v>
      </c>
    </row>
    <row r="17" spans="2:7" ht="15" customHeight="1">
      <c r="B17" s="1208"/>
      <c r="C17" s="1206"/>
      <c r="D17" s="279" t="s">
        <v>867</v>
      </c>
      <c r="E17" s="280" t="s">
        <v>863</v>
      </c>
      <c r="F17" s="279" t="s">
        <v>864</v>
      </c>
      <c r="G17" s="281">
        <v>3000000</v>
      </c>
    </row>
    <row r="18" spans="2:7" ht="15" customHeight="1">
      <c r="B18" s="1208"/>
      <c r="C18" s="1206"/>
      <c r="D18" s="279" t="s">
        <v>868</v>
      </c>
      <c r="E18" s="280" t="s">
        <v>863</v>
      </c>
      <c r="F18" s="279" t="s">
        <v>866</v>
      </c>
      <c r="G18" s="281">
        <v>1800000</v>
      </c>
    </row>
    <row r="19" spans="2:7" ht="15" customHeight="1">
      <c r="B19" s="1208"/>
      <c r="C19" s="1206"/>
      <c r="D19" s="279" t="s">
        <v>869</v>
      </c>
      <c r="E19" s="280" t="s">
        <v>863</v>
      </c>
      <c r="F19" s="279" t="s">
        <v>871</v>
      </c>
      <c r="G19" s="281">
        <v>1800000</v>
      </c>
    </row>
    <row r="20" spans="2:7" ht="15" customHeight="1" thickBot="1">
      <c r="B20" s="1208"/>
      <c r="C20" s="1206"/>
      <c r="D20" s="279" t="s">
        <v>870</v>
      </c>
      <c r="E20" s="280" t="s">
        <v>863</v>
      </c>
      <c r="F20" s="279" t="s">
        <v>872</v>
      </c>
      <c r="G20" s="281">
        <v>1800000</v>
      </c>
    </row>
    <row r="21" spans="2:7" ht="15" customHeight="1" thickBot="1">
      <c r="B21" s="290"/>
      <c r="C21" s="291"/>
      <c r="D21" s="292" t="s">
        <v>9</v>
      </c>
      <c r="E21" s="293"/>
      <c r="F21" s="293"/>
      <c r="G21" s="294">
        <f>SUM(G16:G20)</f>
        <v>12000000</v>
      </c>
    </row>
    <row r="22" spans="2:7" ht="15" customHeight="1">
      <c r="B22" s="1208">
        <v>3</v>
      </c>
      <c r="C22" s="1206" t="s">
        <v>851</v>
      </c>
      <c r="D22" s="280" t="s">
        <v>875</v>
      </c>
      <c r="E22" s="283" t="s">
        <v>863</v>
      </c>
      <c r="F22" s="283" t="s">
        <v>864</v>
      </c>
      <c r="G22" s="281">
        <v>2000000</v>
      </c>
    </row>
    <row r="23" spans="2:7" ht="15" customHeight="1" thickBot="1">
      <c r="B23" s="1214"/>
      <c r="C23" s="1215"/>
      <c r="D23" s="295"/>
      <c r="E23" s="296"/>
      <c r="F23" s="295"/>
      <c r="G23" s="297"/>
    </row>
    <row r="24" spans="2:7" ht="15" customHeight="1" thickBot="1">
      <c r="B24" s="284"/>
      <c r="C24" s="285"/>
      <c r="D24" s="298" t="s">
        <v>9</v>
      </c>
      <c r="E24" s="287"/>
      <c r="F24" s="287"/>
      <c r="G24" s="288">
        <f>SUM(G22:G23)</f>
        <v>2000000</v>
      </c>
    </row>
    <row r="25" spans="2:7" ht="15" customHeight="1">
      <c r="B25" s="1212">
        <v>4</v>
      </c>
      <c r="C25" s="1205" t="s">
        <v>26</v>
      </c>
      <c r="D25" s="279" t="s">
        <v>876</v>
      </c>
      <c r="E25" s="283" t="s">
        <v>873</v>
      </c>
      <c r="F25" s="279" t="s">
        <v>864</v>
      </c>
      <c r="G25" s="281">
        <v>3000000</v>
      </c>
    </row>
    <row r="26" spans="2:7" ht="15" customHeight="1">
      <c r="B26" s="1213"/>
      <c r="C26" s="1206"/>
      <c r="D26" s="279" t="s">
        <v>877</v>
      </c>
      <c r="E26" s="283" t="s">
        <v>873</v>
      </c>
      <c r="F26" s="283" t="s">
        <v>872</v>
      </c>
      <c r="G26" s="281">
        <v>6000000</v>
      </c>
    </row>
    <row r="27" spans="2:7" ht="15" customHeight="1">
      <c r="B27" s="1213"/>
      <c r="C27" s="1206"/>
      <c r="D27" s="279" t="s">
        <v>878</v>
      </c>
      <c r="E27" s="283" t="s">
        <v>873</v>
      </c>
      <c r="F27" s="283" t="s">
        <v>866</v>
      </c>
      <c r="G27" s="281">
        <v>3000000</v>
      </c>
    </row>
    <row r="28" spans="2:7" ht="15" customHeight="1">
      <c r="B28" s="1213"/>
      <c r="C28" s="1206"/>
      <c r="D28" s="279" t="s">
        <v>879</v>
      </c>
      <c r="E28" s="283" t="s">
        <v>873</v>
      </c>
      <c r="F28" s="283" t="s">
        <v>864</v>
      </c>
      <c r="G28" s="281">
        <v>4000000</v>
      </c>
    </row>
    <row r="29" spans="2:7" ht="15" customHeight="1">
      <c r="B29" s="1213"/>
      <c r="C29" s="1206"/>
      <c r="D29" s="279" t="s">
        <v>880</v>
      </c>
      <c r="E29" s="283" t="s">
        <v>873</v>
      </c>
      <c r="F29" s="283" t="s">
        <v>874</v>
      </c>
      <c r="G29" s="281">
        <v>1500000</v>
      </c>
    </row>
    <row r="30" spans="2:7" ht="15" customHeight="1" thickBot="1">
      <c r="B30" s="1213"/>
      <c r="C30" s="1206"/>
      <c r="D30" s="283" t="s">
        <v>881</v>
      </c>
      <c r="E30" s="283" t="s">
        <v>873</v>
      </c>
      <c r="F30" s="283" t="s">
        <v>872</v>
      </c>
      <c r="G30" s="281">
        <v>1500000</v>
      </c>
    </row>
    <row r="31" spans="2:7" ht="15" customHeight="1" thickBot="1">
      <c r="B31" s="299"/>
      <c r="C31" s="291"/>
      <c r="D31" s="292" t="s">
        <v>9</v>
      </c>
      <c r="E31" s="293"/>
      <c r="F31" s="293"/>
      <c r="G31" s="300">
        <f>SUM(G25:G30)</f>
        <v>19000000</v>
      </c>
    </row>
    <row r="32" spans="2:7" ht="15" customHeight="1" thickBot="1">
      <c r="B32" s="301"/>
      <c r="C32" s="302"/>
      <c r="D32" s="295"/>
      <c r="E32" s="295"/>
      <c r="F32" s="295"/>
      <c r="G32" s="303"/>
    </row>
    <row r="33" spans="2:7" ht="15" customHeight="1" thickBot="1">
      <c r="B33" s="284"/>
      <c r="C33" s="285"/>
      <c r="D33" s="298" t="s">
        <v>491</v>
      </c>
      <c r="E33" s="287"/>
      <c r="F33" s="287"/>
      <c r="G33" s="288">
        <f>SUM(G24,G15,G31,G21)</f>
        <v>45700000</v>
      </c>
    </row>
  </sheetData>
  <sheetProtection/>
  <mergeCells count="11">
    <mergeCell ref="B6:B14"/>
    <mergeCell ref="C16:C20"/>
    <mergeCell ref="B16:B20"/>
    <mergeCell ref="B1:H1"/>
    <mergeCell ref="B2:H2"/>
    <mergeCell ref="C3:H3"/>
    <mergeCell ref="B25:B30"/>
    <mergeCell ref="C25:C30"/>
    <mergeCell ref="B22:B23"/>
    <mergeCell ref="C22:C23"/>
    <mergeCell ref="C6:C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T42"/>
  <sheetViews>
    <sheetView zoomScalePageLayoutView="0" workbookViewId="0" topLeftCell="A18">
      <selection activeCell="I39" sqref="I39"/>
    </sheetView>
  </sheetViews>
  <sheetFormatPr defaultColWidth="9.140625" defaultRowHeight="15" customHeight="1"/>
  <cols>
    <col min="1" max="1" width="2.8515625" style="374" customWidth="1"/>
    <col min="2" max="2" width="9.28125" style="374" bestFit="1" customWidth="1"/>
    <col min="3" max="3" width="27.140625" style="374" bestFit="1" customWidth="1"/>
    <col min="4" max="4" width="62.421875" style="374" customWidth="1"/>
    <col min="5" max="5" width="16.00390625" style="374" customWidth="1"/>
    <col min="6" max="6" width="22.57421875" style="374" customWidth="1"/>
    <col min="7" max="7" width="19.421875" style="374" customWidth="1"/>
    <col min="8" max="19" width="9.140625" style="374" customWidth="1"/>
    <col min="20" max="20" width="11.140625" style="374" bestFit="1" customWidth="1"/>
    <col min="21" max="23" width="9.140625" style="374" customWidth="1"/>
    <col min="24" max="24" width="9.8515625" style="374" bestFit="1" customWidth="1"/>
    <col min="25" max="16384" width="9.140625" style="374" customWidth="1"/>
  </cols>
  <sheetData>
    <row r="1" spans="2:8" ht="15" customHeight="1">
      <c r="B1" s="1224" t="s">
        <v>334</v>
      </c>
      <c r="C1" s="1224"/>
      <c r="D1" s="1224"/>
      <c r="E1" s="1224"/>
      <c r="F1" s="1224"/>
      <c r="G1" s="1224"/>
      <c r="H1" s="1224"/>
    </row>
    <row r="2" spans="2:8" ht="15" customHeight="1">
      <c r="B2" s="1225" t="s">
        <v>493</v>
      </c>
      <c r="C2" s="1225"/>
      <c r="D2" s="1225"/>
      <c r="E2" s="1225"/>
      <c r="F2" s="1225"/>
      <c r="G2" s="1225"/>
      <c r="H2" s="1225"/>
    </row>
    <row r="3" spans="2:8" ht="15" customHeight="1">
      <c r="B3" s="376"/>
      <c r="C3" s="1226" t="s">
        <v>488</v>
      </c>
      <c r="D3" s="1226"/>
      <c r="E3" s="1226"/>
      <c r="F3" s="1226"/>
      <c r="G3" s="1226"/>
      <c r="H3" s="1226"/>
    </row>
    <row r="5" spans="2:7" ht="15" customHeight="1">
      <c r="B5" s="377" t="s">
        <v>4</v>
      </c>
      <c r="C5" s="378" t="s">
        <v>8</v>
      </c>
      <c r="D5" s="379" t="s">
        <v>23</v>
      </c>
      <c r="E5" s="379" t="s">
        <v>7</v>
      </c>
      <c r="F5" s="380" t="s">
        <v>11</v>
      </c>
      <c r="G5" s="366" t="s">
        <v>5</v>
      </c>
    </row>
    <row r="6" spans="2:7" ht="15" customHeight="1">
      <c r="B6" s="1218">
        <v>1</v>
      </c>
      <c r="C6" s="1220" t="s">
        <v>489</v>
      </c>
      <c r="D6" s="305" t="s">
        <v>883</v>
      </c>
      <c r="E6" s="306" t="s">
        <v>890</v>
      </c>
      <c r="F6" s="305" t="s">
        <v>275</v>
      </c>
      <c r="G6" s="306">
        <v>3000000</v>
      </c>
    </row>
    <row r="7" spans="2:7" ht="15" customHeight="1">
      <c r="B7" s="1218"/>
      <c r="C7" s="1220"/>
      <c r="D7" s="305" t="s">
        <v>884</v>
      </c>
      <c r="E7" s="306" t="s">
        <v>890</v>
      </c>
      <c r="F7" s="305" t="s">
        <v>891</v>
      </c>
      <c r="G7" s="306">
        <v>3500000</v>
      </c>
    </row>
    <row r="8" spans="2:7" ht="15" customHeight="1">
      <c r="B8" s="1218"/>
      <c r="C8" s="1220"/>
      <c r="D8" s="305" t="s">
        <v>885</v>
      </c>
      <c r="E8" s="306" t="s">
        <v>890</v>
      </c>
      <c r="F8" s="305" t="s">
        <v>891</v>
      </c>
      <c r="G8" s="306">
        <v>3500000</v>
      </c>
    </row>
    <row r="9" spans="2:7" ht="15" customHeight="1">
      <c r="B9" s="1218"/>
      <c r="C9" s="1220"/>
      <c r="D9" s="305" t="s">
        <v>886</v>
      </c>
      <c r="E9" s="306" t="s">
        <v>890</v>
      </c>
      <c r="F9" s="305" t="s">
        <v>892</v>
      </c>
      <c r="G9" s="306">
        <v>3000000</v>
      </c>
    </row>
    <row r="10" spans="2:7" ht="15" customHeight="1">
      <c r="B10" s="1218"/>
      <c r="C10" s="1220"/>
      <c r="D10" s="305" t="s">
        <v>887</v>
      </c>
      <c r="E10" s="306" t="s">
        <v>890</v>
      </c>
      <c r="F10" s="305" t="s">
        <v>893</v>
      </c>
      <c r="G10" s="306">
        <v>600000</v>
      </c>
    </row>
    <row r="11" spans="2:7" ht="15" customHeight="1">
      <c r="B11" s="1218"/>
      <c r="C11" s="1220"/>
      <c r="D11" s="305" t="s">
        <v>888</v>
      </c>
      <c r="E11" s="306" t="s">
        <v>890</v>
      </c>
      <c r="F11" s="305" t="s">
        <v>893</v>
      </c>
      <c r="G11" s="306">
        <v>1000000</v>
      </c>
    </row>
    <row r="12" spans="2:7" ht="15" customHeight="1">
      <c r="B12" s="1218"/>
      <c r="C12" s="1220"/>
      <c r="D12" s="305" t="s">
        <v>889</v>
      </c>
      <c r="E12" s="306" t="s">
        <v>890</v>
      </c>
      <c r="F12" s="305" t="s">
        <v>258</v>
      </c>
      <c r="G12" s="306">
        <v>1500000</v>
      </c>
    </row>
    <row r="13" spans="2:7" ht="15" customHeight="1" thickBot="1">
      <c r="B13" s="1219"/>
      <c r="C13" s="1221"/>
      <c r="D13" s="370"/>
      <c r="E13" s="370"/>
      <c r="F13" s="370"/>
      <c r="G13" s="370"/>
    </row>
    <row r="14" spans="2:7" ht="15" customHeight="1" thickBot="1">
      <c r="B14" s="381"/>
      <c r="C14" s="382"/>
      <c r="D14" s="383" t="s">
        <v>9</v>
      </c>
      <c r="E14" s="384"/>
      <c r="F14" s="384"/>
      <c r="G14" s="369">
        <f>SUM(G6:G13)</f>
        <v>16100000</v>
      </c>
    </row>
    <row r="15" spans="2:7" ht="15" customHeight="1">
      <c r="B15" s="1227">
        <v>2</v>
      </c>
      <c r="C15" s="1230" t="s">
        <v>27</v>
      </c>
      <c r="D15" s="305" t="s">
        <v>894</v>
      </c>
      <c r="E15" s="306" t="s">
        <v>890</v>
      </c>
      <c r="F15" s="305" t="s">
        <v>258</v>
      </c>
      <c r="G15" s="331">
        <v>3500000</v>
      </c>
    </row>
    <row r="16" spans="2:7" ht="15" customHeight="1">
      <c r="B16" s="1228"/>
      <c r="C16" s="1220"/>
      <c r="D16" s="305" t="s">
        <v>895</v>
      </c>
      <c r="E16" s="306" t="s">
        <v>890</v>
      </c>
      <c r="F16" s="305" t="s">
        <v>258</v>
      </c>
      <c r="G16" s="306">
        <v>2000000</v>
      </c>
    </row>
    <row r="17" spans="2:7" ht="15" customHeight="1">
      <c r="B17" s="1228"/>
      <c r="C17" s="1220"/>
      <c r="D17" s="305" t="s">
        <v>896</v>
      </c>
      <c r="E17" s="306" t="s">
        <v>890</v>
      </c>
      <c r="F17" s="305" t="s">
        <v>902</v>
      </c>
      <c r="G17" s="306">
        <v>2000000</v>
      </c>
    </row>
    <row r="18" spans="2:7" ht="15" customHeight="1">
      <c r="B18" s="1228"/>
      <c r="C18" s="1220"/>
      <c r="D18" s="305" t="s">
        <v>897</v>
      </c>
      <c r="E18" s="306" t="s">
        <v>890</v>
      </c>
      <c r="F18" s="305" t="s">
        <v>902</v>
      </c>
      <c r="G18" s="306">
        <v>3000000</v>
      </c>
    </row>
    <row r="19" spans="2:7" ht="15" customHeight="1">
      <c r="B19" s="1228"/>
      <c r="C19" s="1220"/>
      <c r="D19" s="305" t="s">
        <v>898</v>
      </c>
      <c r="E19" s="306" t="s">
        <v>890</v>
      </c>
      <c r="F19" s="305" t="s">
        <v>891</v>
      </c>
      <c r="G19" s="306">
        <v>3000000</v>
      </c>
    </row>
    <row r="20" spans="2:7" ht="15" customHeight="1">
      <c r="B20" s="1228"/>
      <c r="C20" s="1220"/>
      <c r="D20" s="305" t="s">
        <v>899</v>
      </c>
      <c r="E20" s="306" t="s">
        <v>890</v>
      </c>
      <c r="F20" s="305" t="s">
        <v>893</v>
      </c>
      <c r="G20" s="306">
        <v>5900000</v>
      </c>
    </row>
    <row r="21" spans="2:7" ht="15" customHeight="1">
      <c r="B21" s="1228"/>
      <c r="C21" s="1220"/>
      <c r="D21" s="305" t="s">
        <v>900</v>
      </c>
      <c r="E21" s="306" t="s">
        <v>890</v>
      </c>
      <c r="F21" s="305" t="s">
        <v>903</v>
      </c>
      <c r="G21" s="306">
        <v>1800000</v>
      </c>
    </row>
    <row r="22" spans="2:7" ht="15" customHeight="1">
      <c r="B22" s="1228"/>
      <c r="C22" s="1220"/>
      <c r="D22" s="305" t="s">
        <v>901</v>
      </c>
      <c r="E22" s="306" t="s">
        <v>890</v>
      </c>
      <c r="F22" s="305" t="s">
        <v>904</v>
      </c>
      <c r="G22" s="306">
        <v>3500000</v>
      </c>
    </row>
    <row r="23" spans="2:20" ht="15" customHeight="1" thickBot="1">
      <c r="B23" s="1229"/>
      <c r="C23" s="1220"/>
      <c r="D23" s="367"/>
      <c r="E23" s="367"/>
      <c r="F23" s="367"/>
      <c r="G23" s="367"/>
      <c r="T23" s="346"/>
    </row>
    <row r="24" spans="2:7" ht="15" customHeight="1" thickBot="1">
      <c r="B24" s="385"/>
      <c r="C24" s="386"/>
      <c r="D24" s="387" t="s">
        <v>9</v>
      </c>
      <c r="E24" s="388"/>
      <c r="F24" s="388"/>
      <c r="G24" s="373">
        <f>SUM(G15:G23)</f>
        <v>24700000</v>
      </c>
    </row>
    <row r="25" spans="2:7" ht="15" customHeight="1">
      <c r="B25" s="1222">
        <v>3</v>
      </c>
      <c r="C25" s="1223" t="s">
        <v>494</v>
      </c>
      <c r="D25" s="368"/>
      <c r="E25" s="368"/>
      <c r="F25" s="368"/>
      <c r="G25" s="368"/>
    </row>
    <row r="26" spans="2:7" ht="15" customHeight="1">
      <c r="B26" s="1218"/>
      <c r="C26" s="1220"/>
      <c r="D26" s="306" t="s">
        <v>905</v>
      </c>
      <c r="E26" s="306" t="s">
        <v>890</v>
      </c>
      <c r="F26" s="306" t="s">
        <v>258</v>
      </c>
      <c r="G26" s="306">
        <v>2000000</v>
      </c>
    </row>
    <row r="27" spans="2:7" ht="15" customHeight="1" thickBot="1">
      <c r="B27" s="1219"/>
      <c r="C27" s="1221"/>
      <c r="D27" s="371"/>
      <c r="E27" s="371"/>
      <c r="F27" s="371"/>
      <c r="G27" s="389"/>
    </row>
    <row r="28" spans="2:7" ht="15" customHeight="1" thickBot="1">
      <c r="B28" s="381"/>
      <c r="C28" s="382"/>
      <c r="D28" s="383" t="s">
        <v>9</v>
      </c>
      <c r="E28" s="384"/>
      <c r="F28" s="384"/>
      <c r="G28" s="369">
        <f>SUM(G25:G27)</f>
        <v>2000000</v>
      </c>
    </row>
    <row r="29" spans="2:7" ht="15" customHeight="1">
      <c r="B29" s="1222">
        <v>4</v>
      </c>
      <c r="C29" s="1223" t="s">
        <v>26</v>
      </c>
      <c r="D29" s="305" t="s">
        <v>906</v>
      </c>
      <c r="E29" s="306" t="s">
        <v>890</v>
      </c>
      <c r="F29" s="305" t="s">
        <v>911</v>
      </c>
      <c r="G29" s="306">
        <v>2000000</v>
      </c>
    </row>
    <row r="30" spans="2:7" ht="15" customHeight="1">
      <c r="B30" s="1218"/>
      <c r="C30" s="1220"/>
      <c r="D30" s="305" t="s">
        <v>907</v>
      </c>
      <c r="E30" s="306" t="s">
        <v>890</v>
      </c>
      <c r="F30" s="305" t="s">
        <v>902</v>
      </c>
      <c r="G30" s="306">
        <v>4000000</v>
      </c>
    </row>
    <row r="31" spans="2:7" ht="15" customHeight="1">
      <c r="B31" s="1218"/>
      <c r="C31" s="1220"/>
      <c r="D31" s="305" t="s">
        <v>908</v>
      </c>
      <c r="E31" s="306" t="s">
        <v>890</v>
      </c>
      <c r="F31" s="305" t="s">
        <v>912</v>
      </c>
      <c r="G31" s="306">
        <v>4000000</v>
      </c>
    </row>
    <row r="32" spans="2:7" ht="15" customHeight="1">
      <c r="B32" s="1218"/>
      <c r="C32" s="1220"/>
      <c r="D32" s="305" t="s">
        <v>909</v>
      </c>
      <c r="E32" s="306" t="s">
        <v>890</v>
      </c>
      <c r="F32" s="305" t="s">
        <v>913</v>
      </c>
      <c r="G32" s="306">
        <v>2000000</v>
      </c>
    </row>
    <row r="33" spans="2:7" ht="15" customHeight="1">
      <c r="B33" s="1218"/>
      <c r="C33" s="1220"/>
      <c r="D33" s="305" t="s">
        <v>910</v>
      </c>
      <c r="E33" s="306" t="s">
        <v>890</v>
      </c>
      <c r="F33" s="305" t="s">
        <v>893</v>
      </c>
      <c r="G33" s="306">
        <v>3000000</v>
      </c>
    </row>
    <row r="34" spans="2:7" ht="15" customHeight="1">
      <c r="B34" s="1218"/>
      <c r="C34" s="1220"/>
      <c r="D34" s="367"/>
      <c r="E34" s="367"/>
      <c r="F34" s="367"/>
      <c r="G34" s="367"/>
    </row>
    <row r="35" spans="2:7" ht="15" customHeight="1" thickBot="1">
      <c r="B35" s="1219"/>
      <c r="C35" s="1221"/>
      <c r="D35" s="370"/>
      <c r="E35" s="370"/>
      <c r="F35" s="370"/>
      <c r="G35" s="370"/>
    </row>
    <row r="36" spans="2:7" ht="15" customHeight="1" thickBot="1">
      <c r="B36" s="390"/>
      <c r="C36" s="386"/>
      <c r="D36" s="387" t="s">
        <v>9</v>
      </c>
      <c r="E36" s="388"/>
      <c r="F36" s="388"/>
      <c r="G36" s="372">
        <f>SUM(G29:G35)</f>
        <v>15000000</v>
      </c>
    </row>
    <row r="37" spans="2:7" ht="15" customHeight="1">
      <c r="B37" s="1222">
        <v>5</v>
      </c>
      <c r="C37" s="1223" t="s">
        <v>38</v>
      </c>
      <c r="D37" s="367"/>
      <c r="E37" s="367"/>
      <c r="F37" s="367"/>
      <c r="G37" s="367"/>
    </row>
    <row r="38" spans="2:7" ht="15" customHeight="1">
      <c r="B38" s="1218"/>
      <c r="C38" s="1220"/>
      <c r="D38" s="306" t="s">
        <v>914</v>
      </c>
      <c r="E38" s="306" t="s">
        <v>890</v>
      </c>
      <c r="F38" s="306" t="s">
        <v>275</v>
      </c>
      <c r="G38" s="391">
        <v>2600000</v>
      </c>
    </row>
    <row r="39" spans="2:7" ht="15" customHeight="1" thickBot="1">
      <c r="B39" s="1219"/>
      <c r="C39" s="1221"/>
      <c r="D39" s="370"/>
      <c r="E39" s="370"/>
      <c r="F39" s="370"/>
      <c r="G39" s="370"/>
    </row>
    <row r="40" spans="2:7" ht="15" customHeight="1" thickBot="1">
      <c r="B40" s="381"/>
      <c r="C40" s="382"/>
      <c r="D40" s="383" t="s">
        <v>9</v>
      </c>
      <c r="E40" s="384"/>
      <c r="F40" s="384"/>
      <c r="G40" s="369">
        <f>SUM(G38:G39)</f>
        <v>2600000</v>
      </c>
    </row>
    <row r="41" spans="2:7" ht="15" customHeight="1" thickBot="1">
      <c r="B41" s="392"/>
      <c r="C41" s="393"/>
      <c r="D41" s="371"/>
      <c r="E41" s="371"/>
      <c r="F41" s="371"/>
      <c r="G41" s="371"/>
    </row>
    <row r="42" spans="2:7" ht="15" customHeight="1" thickBot="1">
      <c r="B42" s="381"/>
      <c r="C42" s="382"/>
      <c r="D42" s="383" t="s">
        <v>495</v>
      </c>
      <c r="E42" s="384"/>
      <c r="F42" s="384"/>
      <c r="G42" s="369">
        <f>SUM(G40,G28,G14,G36,G24)</f>
        <v>60400000</v>
      </c>
    </row>
  </sheetData>
  <sheetProtection/>
  <mergeCells count="13">
    <mergeCell ref="B1:H1"/>
    <mergeCell ref="B2:H2"/>
    <mergeCell ref="C3:H3"/>
    <mergeCell ref="B15:B23"/>
    <mergeCell ref="C15:C23"/>
    <mergeCell ref="B29:B35"/>
    <mergeCell ref="C29:C35"/>
    <mergeCell ref="B6:B13"/>
    <mergeCell ref="C6:C13"/>
    <mergeCell ref="B25:B27"/>
    <mergeCell ref="C25:C27"/>
    <mergeCell ref="B37:B39"/>
    <mergeCell ref="C37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7">
      <selection activeCell="D42" sqref="D42"/>
    </sheetView>
  </sheetViews>
  <sheetFormatPr defaultColWidth="9.140625" defaultRowHeight="15"/>
  <cols>
    <col min="1" max="1" width="4.28125" style="0" customWidth="1"/>
    <col min="3" max="3" width="34.140625" style="0" customWidth="1"/>
    <col min="4" max="4" width="66.7109375" style="0" bestFit="1" customWidth="1"/>
    <col min="5" max="5" width="11.421875" style="0" customWidth="1"/>
    <col min="6" max="6" width="18.28125" style="0" bestFit="1" customWidth="1"/>
    <col min="7" max="7" width="17.28125" style="140" bestFit="1" customWidth="1"/>
  </cols>
  <sheetData>
    <row r="1" spans="2:8" ht="15" customHeight="1">
      <c r="B1" s="1233" t="s">
        <v>496</v>
      </c>
      <c r="C1" s="1234"/>
      <c r="D1" s="1234"/>
      <c r="E1" s="1234"/>
      <c r="F1" s="1234"/>
      <c r="G1" s="1235"/>
      <c r="H1" s="243"/>
    </row>
    <row r="2" spans="2:8" ht="15" customHeight="1">
      <c r="B2" s="1236" t="s">
        <v>497</v>
      </c>
      <c r="C2" s="1145"/>
      <c r="D2" s="1145"/>
      <c r="E2" s="1145"/>
      <c r="F2" s="1145"/>
      <c r="G2" s="1237"/>
      <c r="H2" s="243"/>
    </row>
    <row r="3" spans="2:8" ht="15" customHeight="1">
      <c r="B3" s="1236" t="s">
        <v>498</v>
      </c>
      <c r="C3" s="1145"/>
      <c r="D3" s="1145"/>
      <c r="E3" s="1145"/>
      <c r="F3" s="1145"/>
      <c r="G3" s="1237"/>
      <c r="H3" s="243"/>
    </row>
    <row r="4" spans="2:7" ht="15" customHeight="1">
      <c r="B4" s="244"/>
      <c r="C4" s="245"/>
      <c r="D4" s="245"/>
      <c r="E4" s="245"/>
      <c r="F4" s="245"/>
      <c r="G4" s="246"/>
    </row>
    <row r="5" spans="2:7" ht="15" customHeight="1">
      <c r="B5" s="224" t="s">
        <v>4</v>
      </c>
      <c r="C5" s="226" t="s">
        <v>8</v>
      </c>
      <c r="D5" s="225" t="s">
        <v>23</v>
      </c>
      <c r="E5" s="225" t="s">
        <v>7</v>
      </c>
      <c r="F5" s="226" t="s">
        <v>499</v>
      </c>
      <c r="G5" s="227" t="s">
        <v>5</v>
      </c>
    </row>
    <row r="6" spans="2:7" ht="15" customHeight="1">
      <c r="B6" s="162"/>
      <c r="C6" s="163"/>
      <c r="D6" s="164"/>
      <c r="E6" s="164"/>
      <c r="F6" s="163"/>
      <c r="G6" s="165"/>
    </row>
    <row r="7" spans="2:10" ht="15" customHeight="1">
      <c r="B7" s="1231">
        <v>1</v>
      </c>
      <c r="C7" s="1149" t="s">
        <v>452</v>
      </c>
      <c r="D7" s="1" t="s">
        <v>535</v>
      </c>
      <c r="E7" s="176" t="s">
        <v>194</v>
      </c>
      <c r="F7" s="176" t="s">
        <v>518</v>
      </c>
      <c r="G7" s="248">
        <v>400000</v>
      </c>
      <c r="J7" s="250"/>
    </row>
    <row r="8" spans="2:7" ht="15" customHeight="1" thickBot="1">
      <c r="B8" s="1232"/>
      <c r="C8" s="1167"/>
      <c r="D8" s="176"/>
      <c r="E8" s="176"/>
      <c r="F8" s="176"/>
      <c r="G8" s="248"/>
    </row>
    <row r="9" spans="2:7" ht="15" customHeight="1" thickBot="1">
      <c r="B9" s="193"/>
      <c r="C9" s="194"/>
      <c r="D9" s="195" t="s">
        <v>9</v>
      </c>
      <c r="E9" s="196"/>
      <c r="F9" s="196"/>
      <c r="G9" s="220">
        <f>SUM(G7:G8)</f>
        <v>400000</v>
      </c>
    </row>
    <row r="10" spans="2:7" ht="15" customHeight="1">
      <c r="B10" s="1154">
        <v>2</v>
      </c>
      <c r="C10" s="1156" t="s">
        <v>522</v>
      </c>
      <c r="D10" s="173" t="s">
        <v>523</v>
      </c>
      <c r="E10" s="173" t="s">
        <v>194</v>
      </c>
      <c r="F10" s="173" t="s">
        <v>524</v>
      </c>
      <c r="G10" s="213">
        <v>1500000</v>
      </c>
    </row>
    <row r="11" spans="2:7" ht="15" customHeight="1">
      <c r="B11" s="1152"/>
      <c r="C11" s="1149"/>
      <c r="D11" s="173" t="s">
        <v>525</v>
      </c>
      <c r="E11" s="173" t="s">
        <v>194</v>
      </c>
      <c r="F11" s="173" t="s">
        <v>194</v>
      </c>
      <c r="G11" s="213">
        <v>2700000</v>
      </c>
    </row>
    <row r="12" spans="2:7" ht="15" customHeight="1">
      <c r="B12" s="1152"/>
      <c r="C12" s="1149"/>
      <c r="D12" s="173" t="s">
        <v>526</v>
      </c>
      <c r="E12" s="173" t="s">
        <v>194</v>
      </c>
      <c r="F12" s="173" t="s">
        <v>527</v>
      </c>
      <c r="G12" s="213">
        <v>2700000</v>
      </c>
    </row>
    <row r="13" spans="2:7" ht="15" customHeight="1">
      <c r="B13" s="1152"/>
      <c r="C13" s="1149"/>
      <c r="D13" s="173" t="s">
        <v>528</v>
      </c>
      <c r="E13" s="173" t="s">
        <v>194</v>
      </c>
      <c r="F13" s="173" t="s">
        <v>529</v>
      </c>
      <c r="G13" s="213">
        <v>1500000</v>
      </c>
    </row>
    <row r="14" spans="2:7" ht="15" customHeight="1">
      <c r="B14" s="1152"/>
      <c r="C14" s="1149"/>
      <c r="D14" s="173" t="s">
        <v>530</v>
      </c>
      <c r="E14" s="173" t="s">
        <v>194</v>
      </c>
      <c r="F14" s="173" t="s">
        <v>527</v>
      </c>
      <c r="G14" s="213">
        <v>4700000</v>
      </c>
    </row>
    <row r="15" spans="2:9" ht="15" customHeight="1">
      <c r="B15" s="1152"/>
      <c r="C15" s="1149"/>
      <c r="D15" s="173" t="s">
        <v>531</v>
      </c>
      <c r="E15" s="173" t="s">
        <v>194</v>
      </c>
      <c r="F15" s="173" t="s">
        <v>532</v>
      </c>
      <c r="G15" s="213">
        <v>3000000</v>
      </c>
      <c r="I15" s="235"/>
    </row>
    <row r="16" spans="2:10" ht="15" customHeight="1">
      <c r="B16" s="1152"/>
      <c r="C16" s="1149"/>
      <c r="D16" s="173" t="s">
        <v>533</v>
      </c>
      <c r="E16" s="173" t="s">
        <v>194</v>
      </c>
      <c r="F16" s="173" t="s">
        <v>534</v>
      </c>
      <c r="G16" s="213">
        <v>3000000</v>
      </c>
      <c r="J16" s="235"/>
    </row>
    <row r="17" spans="2:7" ht="15" customHeight="1" thickBot="1">
      <c r="B17" s="1153"/>
      <c r="C17" s="1167"/>
      <c r="D17" s="187"/>
      <c r="E17" s="187"/>
      <c r="F17" s="187"/>
      <c r="G17" s="217"/>
    </row>
    <row r="18" spans="2:7" ht="15" customHeight="1" thickBot="1">
      <c r="B18" s="193"/>
      <c r="C18" s="194"/>
      <c r="D18" s="195" t="s">
        <v>9</v>
      </c>
      <c r="E18" s="196"/>
      <c r="F18" s="196"/>
      <c r="G18" s="220">
        <f>SUM(G10:G17)</f>
        <v>19100000</v>
      </c>
    </row>
    <row r="19" spans="2:7" ht="15" customHeight="1">
      <c r="B19" s="1238">
        <v>3</v>
      </c>
      <c r="C19" s="1148" t="s">
        <v>0</v>
      </c>
      <c r="D19" s="173" t="s">
        <v>500</v>
      </c>
      <c r="E19" s="173" t="s">
        <v>194</v>
      </c>
      <c r="F19" s="173" t="s">
        <v>329</v>
      </c>
      <c r="G19" s="213">
        <v>2300000</v>
      </c>
    </row>
    <row r="20" spans="2:7" ht="15" customHeight="1">
      <c r="B20" s="1239"/>
      <c r="C20" s="1149"/>
      <c r="D20" s="173" t="s">
        <v>501</v>
      </c>
      <c r="E20" s="173" t="s">
        <v>194</v>
      </c>
      <c r="F20" s="173" t="s">
        <v>329</v>
      </c>
      <c r="G20" s="213">
        <v>6600000</v>
      </c>
    </row>
    <row r="21" spans="2:9" ht="15" customHeight="1">
      <c r="B21" s="1239"/>
      <c r="C21" s="1149"/>
      <c r="D21" s="173" t="s">
        <v>502</v>
      </c>
      <c r="E21" s="173" t="s">
        <v>194</v>
      </c>
      <c r="F21" s="173" t="s">
        <v>503</v>
      </c>
      <c r="G21" s="213">
        <v>5600000</v>
      </c>
      <c r="I21" s="247"/>
    </row>
    <row r="22" spans="2:7" ht="15" customHeight="1">
      <c r="B22" s="1239"/>
      <c r="C22" s="1149"/>
      <c r="D22" s="173" t="s">
        <v>504</v>
      </c>
      <c r="E22" s="173" t="s">
        <v>194</v>
      </c>
      <c r="F22" s="173" t="s">
        <v>503</v>
      </c>
      <c r="G22" s="213">
        <v>1000000</v>
      </c>
    </row>
    <row r="23" spans="2:7" ht="15" customHeight="1">
      <c r="B23" s="1239"/>
      <c r="C23" s="1149"/>
      <c r="D23" s="173" t="s">
        <v>505</v>
      </c>
      <c r="E23" s="173" t="s">
        <v>194</v>
      </c>
      <c r="F23" s="173" t="s">
        <v>503</v>
      </c>
      <c r="G23" s="213">
        <v>1195344.31</v>
      </c>
    </row>
    <row r="24" spans="2:7" ht="15" customHeight="1">
      <c r="B24" s="1239"/>
      <c r="C24" s="1149"/>
      <c r="D24" s="173" t="s">
        <v>506</v>
      </c>
      <c r="E24" s="173" t="s">
        <v>194</v>
      </c>
      <c r="F24" s="173" t="s">
        <v>507</v>
      </c>
      <c r="G24" s="213">
        <v>600000</v>
      </c>
    </row>
    <row r="25" spans="2:7" ht="15" customHeight="1" thickBot="1">
      <c r="B25" s="1239"/>
      <c r="C25" s="1149"/>
      <c r="D25" s="173"/>
      <c r="E25" s="173"/>
      <c r="F25" s="173"/>
      <c r="G25" s="213"/>
    </row>
    <row r="26" spans="2:7" ht="15" customHeight="1" thickBot="1">
      <c r="B26" s="185"/>
      <c r="C26" s="178"/>
      <c r="D26" s="179" t="s">
        <v>9</v>
      </c>
      <c r="E26" s="180"/>
      <c r="F26" s="180"/>
      <c r="G26" s="214">
        <f>SUM(G19:G25)</f>
        <v>17295344.310000002</v>
      </c>
    </row>
    <row r="27" spans="2:9" ht="15" customHeight="1">
      <c r="B27" s="1158">
        <v>4</v>
      </c>
      <c r="C27" s="1156" t="s">
        <v>519</v>
      </c>
      <c r="D27" s="228"/>
      <c r="E27" s="176"/>
      <c r="F27" s="176"/>
      <c r="G27" s="248"/>
      <c r="I27" s="235"/>
    </row>
    <row r="28" spans="2:11" ht="15" customHeight="1">
      <c r="B28" s="1159"/>
      <c r="C28" s="1149"/>
      <c r="D28" s="1" t="s">
        <v>520</v>
      </c>
      <c r="E28" s="167" t="s">
        <v>194</v>
      </c>
      <c r="F28" s="1" t="s">
        <v>521</v>
      </c>
      <c r="G28" s="212">
        <v>3000000</v>
      </c>
      <c r="K28" s="235"/>
    </row>
    <row r="29" spans="2:7" ht="15" customHeight="1" thickBot="1">
      <c r="B29" s="1160"/>
      <c r="C29" s="1167"/>
      <c r="D29" s="187"/>
      <c r="E29" s="187"/>
      <c r="F29" s="187"/>
      <c r="G29" s="217"/>
    </row>
    <row r="30" spans="2:7" ht="15" customHeight="1" thickBot="1">
      <c r="B30" s="185"/>
      <c r="C30" s="180"/>
      <c r="D30" s="179" t="s">
        <v>9</v>
      </c>
      <c r="E30" s="180"/>
      <c r="F30" s="180"/>
      <c r="G30" s="218">
        <f>SUM(G27:G29)</f>
        <v>3000000</v>
      </c>
    </row>
    <row r="31" spans="2:7" ht="15" customHeight="1">
      <c r="B31" s="1154">
        <v>5</v>
      </c>
      <c r="C31" s="1156" t="s">
        <v>852</v>
      </c>
      <c r="D31" s="173" t="s">
        <v>509</v>
      </c>
      <c r="E31" s="173" t="s">
        <v>194</v>
      </c>
      <c r="F31" s="173" t="s">
        <v>510</v>
      </c>
      <c r="G31" s="213">
        <v>2700000</v>
      </c>
    </row>
    <row r="32" spans="2:9" ht="15" customHeight="1">
      <c r="B32" s="1152"/>
      <c r="C32" s="1149"/>
      <c r="D32" s="173" t="s">
        <v>511</v>
      </c>
      <c r="E32" s="173" t="s">
        <v>194</v>
      </c>
      <c r="F32" s="173" t="s">
        <v>512</v>
      </c>
      <c r="G32" s="213">
        <v>2600000</v>
      </c>
      <c r="I32" s="235"/>
    </row>
    <row r="33" spans="2:7" ht="15" customHeight="1">
      <c r="B33" s="1152"/>
      <c r="C33" s="1149"/>
      <c r="D33" s="173" t="s">
        <v>513</v>
      </c>
      <c r="E33" s="173" t="s">
        <v>194</v>
      </c>
      <c r="F33" s="173" t="s">
        <v>514</v>
      </c>
      <c r="G33" s="213">
        <v>1200000</v>
      </c>
    </row>
    <row r="34" spans="2:7" ht="15" customHeight="1">
      <c r="B34" s="1152"/>
      <c r="C34" s="1149"/>
      <c r="D34" s="173" t="s">
        <v>515</v>
      </c>
      <c r="E34" s="173" t="s">
        <v>194</v>
      </c>
      <c r="F34" s="173" t="s">
        <v>516</v>
      </c>
      <c r="G34" s="213">
        <v>1000000</v>
      </c>
    </row>
    <row r="35" spans="2:10" ht="15" customHeight="1">
      <c r="B35" s="1152"/>
      <c r="C35" s="1149"/>
      <c r="D35" s="173" t="s">
        <v>517</v>
      </c>
      <c r="E35" s="173" t="s">
        <v>194</v>
      </c>
      <c r="F35" s="173" t="s">
        <v>518</v>
      </c>
      <c r="G35" s="213">
        <v>500000</v>
      </c>
      <c r="J35" s="235"/>
    </row>
    <row r="36" spans="2:7" ht="15" customHeight="1" thickBot="1">
      <c r="B36" s="1153"/>
      <c r="C36" s="1167"/>
      <c r="D36" s="173"/>
      <c r="E36" s="173"/>
      <c r="F36" s="173"/>
      <c r="G36" s="213"/>
    </row>
    <row r="37" spans="2:7" ht="15" customHeight="1" thickBot="1">
      <c r="B37" s="183"/>
      <c r="C37" s="178"/>
      <c r="D37" s="179" t="s">
        <v>9</v>
      </c>
      <c r="E37" s="249"/>
      <c r="F37" s="180"/>
      <c r="G37" s="218">
        <f>SUM(G27:G36)</f>
        <v>14000000</v>
      </c>
    </row>
    <row r="38" spans="2:7" ht="15" customHeight="1" thickBot="1">
      <c r="B38" s="167"/>
      <c r="C38" s="167"/>
      <c r="D38" s="167"/>
      <c r="E38" s="167"/>
      <c r="F38" s="167"/>
      <c r="G38" s="212"/>
    </row>
    <row r="39" spans="2:7" ht="15" customHeight="1" thickBot="1">
      <c r="B39" s="193"/>
      <c r="C39" s="194"/>
      <c r="D39" s="195" t="s">
        <v>536</v>
      </c>
      <c r="E39" s="196"/>
      <c r="F39" s="196"/>
      <c r="G39" s="220">
        <f>SUM(G9,G18,G30,G37,G26)</f>
        <v>53795344.31</v>
      </c>
    </row>
    <row r="40" ht="15" customHeight="1">
      <c r="G40" s="251"/>
    </row>
    <row r="41" ht="15" customHeight="1">
      <c r="G41" s="4"/>
    </row>
    <row r="42" ht="15" customHeight="1"/>
    <row r="43" ht="15" customHeight="1"/>
    <row r="44" ht="15" customHeight="1">
      <c r="G44" s="4"/>
    </row>
  </sheetData>
  <sheetProtection/>
  <mergeCells count="13">
    <mergeCell ref="C7:C8"/>
    <mergeCell ref="B7:B8"/>
    <mergeCell ref="B1:G1"/>
    <mergeCell ref="B2:G2"/>
    <mergeCell ref="B3:G3"/>
    <mergeCell ref="B19:B25"/>
    <mergeCell ref="C19:C25"/>
    <mergeCell ref="B31:B36"/>
    <mergeCell ref="C31:C36"/>
    <mergeCell ref="B27:B29"/>
    <mergeCell ref="C27:C29"/>
    <mergeCell ref="B10:B17"/>
    <mergeCell ref="C10:C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0">
      <selection activeCell="D26" sqref="D26:G30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27.140625" style="1" bestFit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235" customWidth="1"/>
    <col min="8" max="16384" width="9.140625" style="1" customWidth="1"/>
  </cols>
  <sheetData>
    <row r="1" spans="2:8" ht="15" customHeight="1">
      <c r="B1" s="1144" t="s">
        <v>334</v>
      </c>
      <c r="C1" s="1144"/>
      <c r="D1" s="1144"/>
      <c r="E1" s="1144"/>
      <c r="F1" s="1144"/>
      <c r="G1" s="1144"/>
      <c r="H1" s="1144"/>
    </row>
    <row r="2" spans="2:8" ht="15" customHeight="1">
      <c r="B2" s="1143" t="s">
        <v>853</v>
      </c>
      <c r="C2" s="1143"/>
      <c r="D2" s="1143"/>
      <c r="E2" s="1143"/>
      <c r="F2" s="1143"/>
      <c r="G2" s="1143"/>
      <c r="H2" s="1143"/>
    </row>
    <row r="3" spans="2:8" ht="15" customHeight="1">
      <c r="B3" s="223"/>
      <c r="C3" s="1157" t="s">
        <v>498</v>
      </c>
      <c r="D3" s="1157"/>
      <c r="E3" s="1157"/>
      <c r="F3" s="1157"/>
      <c r="G3" s="1157"/>
      <c r="H3" s="1157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240">
        <v>1</v>
      </c>
      <c r="C6" s="1148" t="s">
        <v>28</v>
      </c>
      <c r="D6" s="167" t="s">
        <v>563</v>
      </c>
      <c r="E6" s="167" t="s">
        <v>538</v>
      </c>
      <c r="F6" s="202" t="s">
        <v>162</v>
      </c>
      <c r="G6" s="270">
        <v>2800000</v>
      </c>
    </row>
    <row r="7" spans="2:7" ht="15" customHeight="1" thickBot="1">
      <c r="B7" s="1241"/>
      <c r="C7" s="1167"/>
      <c r="D7" s="200"/>
      <c r="E7" s="200"/>
      <c r="F7" s="269"/>
      <c r="G7" s="271"/>
    </row>
    <row r="8" spans="2:7" ht="15" customHeight="1" thickBot="1">
      <c r="B8" s="272"/>
      <c r="C8" s="194"/>
      <c r="D8" s="195" t="s">
        <v>9</v>
      </c>
      <c r="E8" s="196"/>
      <c r="F8" s="196"/>
      <c r="G8" s="240">
        <f>SUM(G6:G6)</f>
        <v>2800000</v>
      </c>
    </row>
    <row r="9" spans="2:7" ht="15" customHeight="1">
      <c r="B9" s="1154">
        <v>2</v>
      </c>
      <c r="C9" s="1156" t="s">
        <v>489</v>
      </c>
      <c r="D9" s="176" t="s">
        <v>560</v>
      </c>
      <c r="E9" s="176" t="s">
        <v>538</v>
      </c>
      <c r="F9" s="176" t="s">
        <v>561</v>
      </c>
      <c r="G9" s="237">
        <v>1800000</v>
      </c>
    </row>
    <row r="10" spans="2:7" ht="15" customHeight="1">
      <c r="B10" s="1152"/>
      <c r="C10" s="1149"/>
      <c r="D10" s="170" t="s">
        <v>562</v>
      </c>
      <c r="E10" s="170" t="s">
        <v>538</v>
      </c>
      <c r="F10" s="170" t="s">
        <v>559</v>
      </c>
      <c r="G10" s="242">
        <v>1411960.36</v>
      </c>
    </row>
    <row r="11" spans="2:7" ht="15" customHeight="1" thickBot="1">
      <c r="B11" s="1153"/>
      <c r="C11" s="1167"/>
      <c r="D11" s="187"/>
      <c r="E11" s="187"/>
      <c r="F11" s="187"/>
      <c r="G11" s="255"/>
    </row>
    <row r="12" spans="2:7" ht="15" customHeight="1" thickBot="1">
      <c r="B12" s="193"/>
      <c r="C12" s="194"/>
      <c r="D12" s="195" t="s">
        <v>9</v>
      </c>
      <c r="E12" s="196"/>
      <c r="F12" s="196"/>
      <c r="G12" s="240">
        <f>SUM(G9:G11)</f>
        <v>3211960.3600000003</v>
      </c>
    </row>
    <row r="13" spans="2:7" ht="15" customHeight="1">
      <c r="B13" s="1154">
        <v>3</v>
      </c>
      <c r="C13" s="1148" t="s">
        <v>27</v>
      </c>
      <c r="D13" s="167" t="s">
        <v>537</v>
      </c>
      <c r="E13" s="167" t="s">
        <v>538</v>
      </c>
      <c r="F13" s="167" t="s">
        <v>539</v>
      </c>
      <c r="G13" s="236">
        <v>5000000</v>
      </c>
    </row>
    <row r="14" spans="2:7" ht="15" customHeight="1">
      <c r="B14" s="1152"/>
      <c r="C14" s="1149"/>
      <c r="D14" s="167" t="s">
        <v>540</v>
      </c>
      <c r="E14" s="167" t="s">
        <v>538</v>
      </c>
      <c r="F14" s="167" t="s">
        <v>539</v>
      </c>
      <c r="G14" s="236">
        <v>1000000</v>
      </c>
    </row>
    <row r="15" spans="2:7" ht="15" customHeight="1">
      <c r="B15" s="1152"/>
      <c r="C15" s="1149"/>
      <c r="D15" s="167" t="s">
        <v>541</v>
      </c>
      <c r="E15" s="167" t="s">
        <v>538</v>
      </c>
      <c r="F15" s="167" t="s">
        <v>539</v>
      </c>
      <c r="G15" s="236">
        <v>600000</v>
      </c>
    </row>
    <row r="16" spans="2:7" ht="15" customHeight="1">
      <c r="B16" s="1152"/>
      <c r="C16" s="1149"/>
      <c r="D16" s="167" t="s">
        <v>542</v>
      </c>
      <c r="E16" s="167" t="s">
        <v>538</v>
      </c>
      <c r="F16" s="167" t="s">
        <v>539</v>
      </c>
      <c r="G16" s="236">
        <v>1000000</v>
      </c>
    </row>
    <row r="17" spans="2:7" ht="15" customHeight="1">
      <c r="B17" s="1152"/>
      <c r="C17" s="1149"/>
      <c r="D17" s="167" t="s">
        <v>543</v>
      </c>
      <c r="E17" s="167" t="s">
        <v>538</v>
      </c>
      <c r="F17" s="167" t="s">
        <v>539</v>
      </c>
      <c r="G17" s="236">
        <v>800000</v>
      </c>
    </row>
    <row r="18" spans="2:7" ht="15" customHeight="1">
      <c r="B18" s="1152"/>
      <c r="C18" s="1149"/>
      <c r="D18" s="167" t="s">
        <v>544</v>
      </c>
      <c r="E18" s="167" t="s">
        <v>538</v>
      </c>
      <c r="F18" s="167" t="s">
        <v>539</v>
      </c>
      <c r="G18" s="236">
        <v>1600000</v>
      </c>
    </row>
    <row r="19" spans="2:7" ht="15" customHeight="1">
      <c r="B19" s="1152"/>
      <c r="C19" s="1149"/>
      <c r="D19" s="167" t="s">
        <v>545</v>
      </c>
      <c r="E19" s="167" t="s">
        <v>538</v>
      </c>
      <c r="F19" s="167" t="s">
        <v>546</v>
      </c>
      <c r="G19" s="236">
        <v>500000</v>
      </c>
    </row>
    <row r="20" spans="2:7" ht="15" customHeight="1" thickBot="1">
      <c r="B20" s="1155"/>
      <c r="C20" s="1150"/>
      <c r="D20" s="167" t="s">
        <v>547</v>
      </c>
      <c r="E20" s="167" t="s">
        <v>538</v>
      </c>
      <c r="F20" s="167" t="s">
        <v>162</v>
      </c>
      <c r="G20" s="236">
        <v>900000</v>
      </c>
    </row>
    <row r="21" spans="2:7" ht="15" customHeight="1" thickBot="1">
      <c r="B21" s="185"/>
      <c r="C21" s="178"/>
      <c r="D21" s="179" t="s">
        <v>9</v>
      </c>
      <c r="E21" s="180"/>
      <c r="F21" s="180"/>
      <c r="G21" s="238">
        <f>SUM(G13:G20)</f>
        <v>11400000</v>
      </c>
    </row>
    <row r="22" spans="2:7" ht="15" customHeight="1">
      <c r="B22" s="1158">
        <v>4</v>
      </c>
      <c r="C22" s="1156" t="s">
        <v>556</v>
      </c>
      <c r="G22" s="1"/>
    </row>
    <row r="23" spans="2:7" ht="15" customHeight="1">
      <c r="B23" s="1159"/>
      <c r="C23" s="1149"/>
      <c r="D23" s="228" t="s">
        <v>557</v>
      </c>
      <c r="E23" s="176" t="s">
        <v>558</v>
      </c>
      <c r="F23" s="176" t="s">
        <v>559</v>
      </c>
      <c r="G23" s="252">
        <v>4000000</v>
      </c>
    </row>
    <row r="24" spans="2:7" ht="15" customHeight="1" thickBot="1">
      <c r="B24" s="1160"/>
      <c r="C24" s="1149"/>
      <c r="D24" s="253"/>
      <c r="E24" s="167"/>
      <c r="F24" s="167"/>
      <c r="G24" s="254"/>
    </row>
    <row r="25" spans="2:7" ht="15" customHeight="1" thickBot="1">
      <c r="B25" s="185"/>
      <c r="C25" s="180"/>
      <c r="D25" s="179" t="s">
        <v>9</v>
      </c>
      <c r="E25" s="180"/>
      <c r="F25" s="180"/>
      <c r="G25" s="239">
        <f>SUM(G23:G24)</f>
        <v>4000000</v>
      </c>
    </row>
    <row r="26" spans="2:7" ht="15" customHeight="1">
      <c r="B26" s="1154">
        <v>5</v>
      </c>
      <c r="C26" s="1156" t="s">
        <v>26</v>
      </c>
      <c r="D26" s="176" t="s">
        <v>548</v>
      </c>
      <c r="E26" s="176" t="s">
        <v>538</v>
      </c>
      <c r="F26" s="176" t="s">
        <v>549</v>
      </c>
      <c r="G26" s="237">
        <v>1500000</v>
      </c>
    </row>
    <row r="27" spans="2:7" ht="15" customHeight="1">
      <c r="B27" s="1152"/>
      <c r="C27" s="1149"/>
      <c r="D27" s="167" t="s">
        <v>550</v>
      </c>
      <c r="E27" s="167" t="s">
        <v>538</v>
      </c>
      <c r="F27" s="167" t="s">
        <v>551</v>
      </c>
      <c r="G27" s="236">
        <v>1500000</v>
      </c>
    </row>
    <row r="28" spans="2:7" ht="15" customHeight="1">
      <c r="B28" s="1152"/>
      <c r="C28" s="1149"/>
      <c r="D28" s="167" t="s">
        <v>552</v>
      </c>
      <c r="E28" s="167" t="s">
        <v>538</v>
      </c>
      <c r="F28" s="167" t="s">
        <v>553</v>
      </c>
      <c r="G28" s="236">
        <v>2400000</v>
      </c>
    </row>
    <row r="29" spans="2:7" ht="15" customHeight="1">
      <c r="B29" s="1152"/>
      <c r="C29" s="1149"/>
      <c r="D29" s="173" t="s">
        <v>554</v>
      </c>
      <c r="E29" s="173" t="s">
        <v>538</v>
      </c>
      <c r="F29" s="173" t="s">
        <v>162</v>
      </c>
      <c r="G29" s="241">
        <v>4000000</v>
      </c>
    </row>
    <row r="30" spans="2:7" ht="15" customHeight="1" thickBot="1">
      <c r="B30" s="1155"/>
      <c r="C30" s="1150"/>
      <c r="D30" s="173" t="s">
        <v>555</v>
      </c>
      <c r="E30" s="173" t="s">
        <v>538</v>
      </c>
      <c r="F30" s="173" t="s">
        <v>162</v>
      </c>
      <c r="G30" s="241">
        <v>2000000</v>
      </c>
    </row>
    <row r="31" spans="2:7" ht="15" customHeight="1" thickBot="1">
      <c r="B31" s="183"/>
      <c r="C31" s="178"/>
      <c r="D31" s="179" t="s">
        <v>9</v>
      </c>
      <c r="E31" s="180"/>
      <c r="F31" s="180"/>
      <c r="G31" s="239">
        <f>SUM(G26:G30)</f>
        <v>11400000</v>
      </c>
    </row>
    <row r="32" spans="2:7" ht="15" customHeight="1" thickBot="1">
      <c r="B32" s="166"/>
      <c r="C32" s="168"/>
      <c r="D32" s="170"/>
      <c r="E32" s="170"/>
      <c r="F32" s="170"/>
      <c r="G32" s="242"/>
    </row>
    <row r="33" spans="2:7" ht="15" customHeight="1" thickBot="1">
      <c r="B33" s="193"/>
      <c r="C33" s="194"/>
      <c r="D33" s="195" t="s">
        <v>564</v>
      </c>
      <c r="E33" s="196"/>
      <c r="F33" s="196"/>
      <c r="G33" s="240">
        <f>SUM(G8,G12,G25,G31,G21)</f>
        <v>32811960.36</v>
      </c>
    </row>
  </sheetData>
  <sheetProtection/>
  <mergeCells count="13">
    <mergeCell ref="C26:C30"/>
    <mergeCell ref="C22:C24"/>
    <mergeCell ref="B22:B24"/>
    <mergeCell ref="B26:B30"/>
    <mergeCell ref="C6:C7"/>
    <mergeCell ref="C9:C11"/>
    <mergeCell ref="B9:B11"/>
    <mergeCell ref="B6:B7"/>
    <mergeCell ref="B13:B20"/>
    <mergeCell ref="B1:H1"/>
    <mergeCell ref="B2:H2"/>
    <mergeCell ref="C3:H3"/>
    <mergeCell ref="C13:C2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9">
      <selection activeCell="D28" sqref="D28:G28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27.140625" style="273" bestFit="1" customWidth="1"/>
    <col min="4" max="4" width="62.421875" style="273" customWidth="1"/>
    <col min="5" max="5" width="16.00390625" style="273" customWidth="1"/>
    <col min="6" max="6" width="22.57421875" style="273" customWidth="1"/>
    <col min="7" max="7" width="19.421875" style="304" customWidth="1"/>
    <col min="8" max="16384" width="9.140625" style="273" customWidth="1"/>
  </cols>
  <sheetData>
    <row r="1" spans="2:8" ht="15" customHeight="1">
      <c r="B1" s="1209" t="s">
        <v>334</v>
      </c>
      <c r="C1" s="1209"/>
      <c r="D1" s="1209"/>
      <c r="E1" s="1209"/>
      <c r="F1" s="1209"/>
      <c r="G1" s="1209"/>
      <c r="H1" s="1209"/>
    </row>
    <row r="2" spans="2:8" ht="15" customHeight="1">
      <c r="B2" s="1210" t="s">
        <v>565</v>
      </c>
      <c r="C2" s="1210"/>
      <c r="D2" s="1210"/>
      <c r="E2" s="1210"/>
      <c r="F2" s="1210"/>
      <c r="G2" s="1210"/>
      <c r="H2" s="1210"/>
    </row>
    <row r="3" spans="2:8" ht="15" customHeight="1">
      <c r="B3" s="274"/>
      <c r="C3" s="1211" t="s">
        <v>488</v>
      </c>
      <c r="D3" s="1211"/>
      <c r="E3" s="1211"/>
      <c r="F3" s="1211"/>
      <c r="G3" s="1211"/>
      <c r="H3" s="1211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08">
        <v>1</v>
      </c>
      <c r="C6" s="1206" t="s">
        <v>28</v>
      </c>
      <c r="D6" s="326" t="s">
        <v>585</v>
      </c>
      <c r="E6" s="326" t="s">
        <v>567</v>
      </c>
      <c r="F6" s="326" t="s">
        <v>567</v>
      </c>
      <c r="G6" s="327">
        <v>3000000</v>
      </c>
    </row>
    <row r="7" spans="2:7" ht="15" customHeight="1">
      <c r="B7" s="1208"/>
      <c r="C7" s="1206"/>
      <c r="D7" s="326" t="s">
        <v>586</v>
      </c>
      <c r="E7" s="326" t="s">
        <v>567</v>
      </c>
      <c r="F7" s="326" t="s">
        <v>289</v>
      </c>
      <c r="G7" s="327">
        <v>2000000</v>
      </c>
    </row>
    <row r="8" spans="2:7" ht="15" customHeight="1" thickBot="1">
      <c r="B8" s="1214"/>
      <c r="C8" s="1215"/>
      <c r="D8" s="295"/>
      <c r="E8" s="296"/>
      <c r="F8" s="295"/>
      <c r="G8" s="297"/>
    </row>
    <row r="9" spans="2:7" ht="15" customHeight="1" thickBot="1">
      <c r="B9" s="284"/>
      <c r="C9" s="285"/>
      <c r="D9" s="298" t="s">
        <v>9</v>
      </c>
      <c r="E9" s="287"/>
      <c r="F9" s="287"/>
      <c r="G9" s="288">
        <f>SUM(G6:G8)</f>
        <v>5000000</v>
      </c>
    </row>
    <row r="10" spans="2:7" ht="15" customHeight="1">
      <c r="B10" s="1207">
        <v>2</v>
      </c>
      <c r="C10" s="1205" t="s">
        <v>489</v>
      </c>
      <c r="D10" s="326" t="s">
        <v>582</v>
      </c>
      <c r="E10" s="326" t="s">
        <v>567</v>
      </c>
      <c r="F10" s="326" t="s">
        <v>567</v>
      </c>
      <c r="G10" s="327">
        <v>1000000</v>
      </c>
    </row>
    <row r="11" spans="2:7" ht="15" customHeight="1">
      <c r="B11" s="1208"/>
      <c r="C11" s="1245"/>
      <c r="D11" s="326" t="s">
        <v>583</v>
      </c>
      <c r="E11" s="326" t="s">
        <v>567</v>
      </c>
      <c r="F11" s="326" t="s">
        <v>289</v>
      </c>
      <c r="G11" s="327">
        <v>2175795</v>
      </c>
    </row>
    <row r="12" spans="2:7" ht="15" customHeight="1" thickBot="1">
      <c r="B12" s="1214"/>
      <c r="C12" s="357"/>
      <c r="D12" s="321" t="s">
        <v>584</v>
      </c>
      <c r="E12" s="326" t="s">
        <v>567</v>
      </c>
      <c r="F12" s="321" t="s">
        <v>578</v>
      </c>
      <c r="G12" s="358">
        <v>2175795</v>
      </c>
    </row>
    <row r="13" spans="2:7" ht="15" customHeight="1" thickBot="1">
      <c r="B13" s="284"/>
      <c r="C13" s="285"/>
      <c r="D13" s="298" t="s">
        <v>9</v>
      </c>
      <c r="E13" s="287"/>
      <c r="F13" s="287"/>
      <c r="G13" s="288">
        <f>SUM(G10:G12)</f>
        <v>5351590</v>
      </c>
    </row>
    <row r="14" spans="2:7" ht="15" customHeight="1">
      <c r="B14" s="1217">
        <v>3</v>
      </c>
      <c r="C14" s="1216" t="s">
        <v>27</v>
      </c>
      <c r="D14" s="321" t="s">
        <v>566</v>
      </c>
      <c r="E14" s="321" t="s">
        <v>567</v>
      </c>
      <c r="F14" s="321" t="s">
        <v>290</v>
      </c>
      <c r="G14" s="358">
        <v>2000000</v>
      </c>
    </row>
    <row r="15" spans="2:7" ht="15" customHeight="1">
      <c r="B15" s="1208"/>
      <c r="C15" s="1206"/>
      <c r="D15" s="323" t="s">
        <v>568</v>
      </c>
      <c r="E15" s="323" t="s">
        <v>567</v>
      </c>
      <c r="F15" s="323" t="s">
        <v>569</v>
      </c>
      <c r="G15" s="330">
        <v>7060000</v>
      </c>
    </row>
    <row r="16" spans="2:7" ht="15" customHeight="1">
      <c r="B16" s="1208"/>
      <c r="C16" s="1206"/>
      <c r="D16" s="323" t="s">
        <v>570</v>
      </c>
      <c r="E16" s="323" t="s">
        <v>567</v>
      </c>
      <c r="F16" s="323" t="s">
        <v>571</v>
      </c>
      <c r="G16" s="330">
        <v>7060000</v>
      </c>
    </row>
    <row r="17" spans="2:7" ht="15" customHeight="1">
      <c r="B17" s="1208"/>
      <c r="C17" s="1206"/>
      <c r="D17" s="326" t="s">
        <v>572</v>
      </c>
      <c r="E17" s="323" t="s">
        <v>567</v>
      </c>
      <c r="F17" s="326" t="s">
        <v>573</v>
      </c>
      <c r="G17" s="327">
        <v>2800000</v>
      </c>
    </row>
    <row r="18" spans="2:7" ht="15" customHeight="1">
      <c r="B18" s="1208"/>
      <c r="C18" s="1206"/>
      <c r="D18" s="326" t="s">
        <v>574</v>
      </c>
      <c r="E18" s="323" t="s">
        <v>567</v>
      </c>
      <c r="F18" s="326" t="s">
        <v>575</v>
      </c>
      <c r="G18" s="327">
        <v>7060000</v>
      </c>
    </row>
    <row r="19" spans="2:7" ht="15" customHeight="1" thickBot="1">
      <c r="B19" s="1214"/>
      <c r="C19" s="1206"/>
      <c r="D19" s="321" t="s">
        <v>576</v>
      </c>
      <c r="E19" s="323" t="s">
        <v>567</v>
      </c>
      <c r="F19" s="321" t="s">
        <v>573</v>
      </c>
      <c r="G19" s="358">
        <v>1500000</v>
      </c>
    </row>
    <row r="20" spans="2:7" ht="15" customHeight="1" thickBot="1">
      <c r="B20" s="290"/>
      <c r="C20" s="291"/>
      <c r="D20" s="292" t="s">
        <v>9</v>
      </c>
      <c r="E20" s="293"/>
      <c r="F20" s="293"/>
      <c r="G20" s="294">
        <f>SUM(G14:G19)</f>
        <v>27480000</v>
      </c>
    </row>
    <row r="21" spans="2:7" ht="15" customHeight="1">
      <c r="B21" s="1243">
        <v>4</v>
      </c>
      <c r="C21" s="1205" t="s">
        <v>556</v>
      </c>
      <c r="D21" s="355" t="s">
        <v>580</v>
      </c>
      <c r="E21" s="355" t="s">
        <v>567</v>
      </c>
      <c r="F21" s="355" t="s">
        <v>581</v>
      </c>
      <c r="G21" s="356">
        <v>4000000</v>
      </c>
    </row>
    <row r="22" spans="2:7" ht="15" customHeight="1" thickBot="1">
      <c r="B22" s="1244"/>
      <c r="C22" s="1206"/>
      <c r="D22" s="359"/>
      <c r="E22" s="323"/>
      <c r="F22" s="323"/>
      <c r="G22" s="360"/>
    </row>
    <row r="23" spans="2:7" ht="15" customHeight="1" thickBot="1">
      <c r="B23" s="290"/>
      <c r="C23" s="293"/>
      <c r="D23" s="292" t="s">
        <v>9</v>
      </c>
      <c r="E23" s="293"/>
      <c r="F23" s="293"/>
      <c r="G23" s="300">
        <f>SUM(G21:G22)</f>
        <v>4000000</v>
      </c>
    </row>
    <row r="24" spans="2:7" ht="15" customHeight="1">
      <c r="B24" s="1207">
        <v>5</v>
      </c>
      <c r="C24" s="1205" t="s">
        <v>26</v>
      </c>
      <c r="D24" s="321" t="s">
        <v>577</v>
      </c>
      <c r="E24" s="321" t="s">
        <v>567</v>
      </c>
      <c r="F24" s="321" t="s">
        <v>578</v>
      </c>
      <c r="G24" s="358">
        <v>4000000</v>
      </c>
    </row>
    <row r="25" spans="2:7" ht="15" customHeight="1" thickBot="1">
      <c r="B25" s="1214"/>
      <c r="C25" s="1206"/>
      <c r="D25" s="323" t="s">
        <v>579</v>
      </c>
      <c r="E25" s="321" t="s">
        <v>567</v>
      </c>
      <c r="F25" s="323" t="s">
        <v>291</v>
      </c>
      <c r="G25" s="330">
        <v>4000000</v>
      </c>
    </row>
    <row r="26" spans="2:7" ht="15" customHeight="1" thickBot="1">
      <c r="B26" s="299"/>
      <c r="C26" s="291"/>
      <c r="D26" s="292" t="s">
        <v>9</v>
      </c>
      <c r="E26" s="293"/>
      <c r="F26" s="293"/>
      <c r="G26" s="300">
        <f>SUM(G24:G25)</f>
        <v>8000000</v>
      </c>
    </row>
    <row r="27" spans="2:7" ht="15" customHeight="1">
      <c r="B27" s="1212">
        <v>6</v>
      </c>
      <c r="C27" s="1205" t="s">
        <v>38</v>
      </c>
      <c r="D27" s="361"/>
      <c r="E27" s="362"/>
      <c r="F27" s="362"/>
      <c r="G27" s="363"/>
    </row>
    <row r="28" spans="2:7" ht="15" customHeight="1" thickBot="1">
      <c r="B28" s="1242"/>
      <c r="C28" s="1215"/>
      <c r="D28" s="364" t="s">
        <v>587</v>
      </c>
      <c r="E28" s="364" t="s">
        <v>567</v>
      </c>
      <c r="F28" s="364" t="s">
        <v>289</v>
      </c>
      <c r="G28" s="365">
        <v>3600000</v>
      </c>
    </row>
    <row r="29" spans="2:7" ht="15" customHeight="1" thickBot="1">
      <c r="B29" s="284"/>
      <c r="C29" s="285"/>
      <c r="D29" s="298" t="s">
        <v>9</v>
      </c>
      <c r="E29" s="287"/>
      <c r="F29" s="287"/>
      <c r="G29" s="288">
        <f>SUM(G28:G28)</f>
        <v>3600000</v>
      </c>
    </row>
    <row r="30" spans="2:7" ht="15" customHeight="1" thickBot="1">
      <c r="B30" s="301"/>
      <c r="C30" s="302"/>
      <c r="D30" s="295"/>
      <c r="E30" s="295"/>
      <c r="F30" s="295"/>
      <c r="G30" s="303"/>
    </row>
    <row r="31" spans="2:7" ht="15" customHeight="1" thickBot="1">
      <c r="B31" s="284"/>
      <c r="C31" s="285"/>
      <c r="D31" s="298" t="s">
        <v>588</v>
      </c>
      <c r="E31" s="287"/>
      <c r="F31" s="287"/>
      <c r="G31" s="288">
        <f>SUM(G29,G9,G13,G23,G26,G20)</f>
        <v>53431590</v>
      </c>
    </row>
  </sheetData>
  <sheetProtection/>
  <mergeCells count="15">
    <mergeCell ref="B6:B8"/>
    <mergeCell ref="C6:C8"/>
    <mergeCell ref="B1:H1"/>
    <mergeCell ref="B2:H2"/>
    <mergeCell ref="C3:H3"/>
    <mergeCell ref="B14:B19"/>
    <mergeCell ref="C14:C19"/>
    <mergeCell ref="B27:B28"/>
    <mergeCell ref="C27:C28"/>
    <mergeCell ref="B21:B22"/>
    <mergeCell ref="C21:C22"/>
    <mergeCell ref="B10:B12"/>
    <mergeCell ref="C10:C11"/>
    <mergeCell ref="B24:B25"/>
    <mergeCell ref="C24:C2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23"/>
  <sheetViews>
    <sheetView zoomScalePageLayoutView="0" workbookViewId="0" topLeftCell="A75">
      <selection activeCell="A80" sqref="A80:IV83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37.421875" style="273" customWidth="1"/>
    <col min="4" max="4" width="62.421875" style="273" customWidth="1"/>
    <col min="5" max="5" width="16.00390625" style="273" customWidth="1"/>
    <col min="6" max="6" width="22.57421875" style="273" customWidth="1"/>
    <col min="7" max="7" width="19.421875" style="346" customWidth="1"/>
    <col min="8" max="8" width="9.140625" style="273" customWidth="1"/>
    <col min="9" max="9" width="11.140625" style="346" bestFit="1" customWidth="1"/>
    <col min="10" max="16384" width="9.140625" style="273" customWidth="1"/>
  </cols>
  <sheetData>
    <row r="1" spans="2:7" ht="15" customHeight="1">
      <c r="B1" s="1209" t="s">
        <v>334</v>
      </c>
      <c r="C1" s="1209"/>
      <c r="D1" s="1209"/>
      <c r="E1" s="1209"/>
      <c r="F1" s="1209"/>
      <c r="G1" s="1209"/>
    </row>
    <row r="2" spans="2:7" ht="15" customHeight="1">
      <c r="B2" s="1210"/>
      <c r="C2" s="1210"/>
      <c r="D2" s="1210"/>
      <c r="E2" s="1210"/>
      <c r="F2" s="1210"/>
      <c r="G2" s="1210"/>
    </row>
    <row r="3" spans="2:7" ht="15" customHeight="1">
      <c r="B3" s="274"/>
      <c r="C3" s="1211" t="s">
        <v>916</v>
      </c>
      <c r="D3" s="1211"/>
      <c r="E3" s="1211"/>
      <c r="F3" s="1211"/>
      <c r="G3" s="1211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16">
        <v>1</v>
      </c>
      <c r="C6" s="1216" t="s">
        <v>367</v>
      </c>
      <c r="D6" s="273" t="s">
        <v>535</v>
      </c>
      <c r="E6" s="321" t="s">
        <v>194</v>
      </c>
      <c r="F6" s="321" t="s">
        <v>518</v>
      </c>
      <c r="G6" s="322">
        <f>LAISAMI!G7</f>
        <v>400000</v>
      </c>
    </row>
    <row r="7" spans="2:7" ht="15" customHeight="1">
      <c r="B7" s="1206"/>
      <c r="C7" s="1206"/>
      <c r="D7" s="323" t="s">
        <v>563</v>
      </c>
      <c r="E7" s="323" t="s">
        <v>538</v>
      </c>
      <c r="F7" s="324" t="s">
        <v>162</v>
      </c>
      <c r="G7" s="325">
        <f>LOGLOG!G6</f>
        <v>2800000</v>
      </c>
    </row>
    <row r="8" spans="2:7" ht="15" customHeight="1">
      <c r="B8" s="1206"/>
      <c r="C8" s="1206"/>
      <c r="D8" s="326" t="s">
        <v>585</v>
      </c>
      <c r="E8" s="326" t="s">
        <v>567</v>
      </c>
      <c r="F8" s="326" t="s">
        <v>567</v>
      </c>
      <c r="G8" s="342">
        <f>LOIYANGALANI!G6</f>
        <v>3000000</v>
      </c>
    </row>
    <row r="9" spans="2:7" ht="15" customHeight="1" thickBot="1">
      <c r="B9" s="1206"/>
      <c r="C9" s="1245"/>
      <c r="D9" s="326" t="s">
        <v>586</v>
      </c>
      <c r="E9" s="326" t="s">
        <v>567</v>
      </c>
      <c r="F9" s="326" t="s">
        <v>289</v>
      </c>
      <c r="G9" s="342">
        <f>LOIYANGALANI!G7</f>
        <v>2000000</v>
      </c>
    </row>
    <row r="10" spans="2:7" ht="12.75" thickBot="1">
      <c r="B10" s="285"/>
      <c r="C10" s="285"/>
      <c r="D10" s="298" t="s">
        <v>9</v>
      </c>
      <c r="E10" s="287"/>
      <c r="F10" s="287"/>
      <c r="G10" s="328">
        <f>SUM(G6:G9)</f>
        <v>8200000</v>
      </c>
    </row>
    <row r="11" spans="2:7" ht="15" customHeight="1">
      <c r="B11" s="1207">
        <v>2</v>
      </c>
      <c r="C11" s="1205" t="s">
        <v>404</v>
      </c>
      <c r="D11" s="307" t="s">
        <v>854</v>
      </c>
      <c r="E11" s="308" t="s">
        <v>863</v>
      </c>
      <c r="F11" s="307" t="s">
        <v>864</v>
      </c>
      <c r="G11" s="309">
        <f>'KARGI-SOUTH HORR'!G6</f>
        <v>1000000</v>
      </c>
    </row>
    <row r="12" spans="2:7" ht="15" customHeight="1">
      <c r="B12" s="1208"/>
      <c r="C12" s="1206"/>
      <c r="D12" s="310" t="s">
        <v>855</v>
      </c>
      <c r="E12" s="311" t="s">
        <v>863</v>
      </c>
      <c r="F12" s="310" t="s">
        <v>865</v>
      </c>
      <c r="G12" s="312">
        <f>'KARGI-SOUTH HORR'!G7</f>
        <v>1000000</v>
      </c>
    </row>
    <row r="13" spans="2:7" ht="15" customHeight="1">
      <c r="B13" s="1208"/>
      <c r="C13" s="1206"/>
      <c r="D13" s="310" t="s">
        <v>856</v>
      </c>
      <c r="E13" s="311" t="s">
        <v>863</v>
      </c>
      <c r="F13" s="310" t="s">
        <v>864</v>
      </c>
      <c r="G13" s="312">
        <f>'KARGI-SOUTH HORR'!G8</f>
        <v>1000000</v>
      </c>
    </row>
    <row r="14" spans="2:7" ht="15" customHeight="1">
      <c r="B14" s="1208"/>
      <c r="C14" s="1206"/>
      <c r="D14" s="310" t="s">
        <v>859</v>
      </c>
      <c r="E14" s="311" t="s">
        <v>863</v>
      </c>
      <c r="F14" s="310" t="s">
        <v>865</v>
      </c>
      <c r="G14" s="312">
        <f>'KARGI-SOUTH HORR'!G9</f>
        <v>1000000</v>
      </c>
    </row>
    <row r="15" spans="2:7" ht="15" customHeight="1">
      <c r="B15" s="1208"/>
      <c r="C15" s="1206"/>
      <c r="D15" s="310" t="s">
        <v>860</v>
      </c>
      <c r="E15" s="311" t="s">
        <v>863</v>
      </c>
      <c r="F15" s="310" t="s">
        <v>864</v>
      </c>
      <c r="G15" s="312">
        <f>'KARGI-SOUTH HORR'!G10</f>
        <v>2900000</v>
      </c>
    </row>
    <row r="16" spans="2:7" ht="15" customHeight="1">
      <c r="B16" s="1208"/>
      <c r="C16" s="1206"/>
      <c r="D16" s="310" t="s">
        <v>861</v>
      </c>
      <c r="E16" s="311" t="s">
        <v>863</v>
      </c>
      <c r="F16" s="310" t="s">
        <v>864</v>
      </c>
      <c r="G16" s="313">
        <f>'KARGI-SOUTH HORR'!G11</f>
        <v>1000000</v>
      </c>
    </row>
    <row r="17" spans="2:7" ht="15" customHeight="1">
      <c r="B17" s="1208"/>
      <c r="C17" s="1206"/>
      <c r="D17" s="310" t="s">
        <v>857</v>
      </c>
      <c r="E17" s="311" t="s">
        <v>863</v>
      </c>
      <c r="F17" s="310" t="s">
        <v>865</v>
      </c>
      <c r="G17" s="312">
        <f>'KARGI-SOUTH HORR'!G12</f>
        <v>800000</v>
      </c>
    </row>
    <row r="18" spans="2:7" ht="15" customHeight="1">
      <c r="B18" s="1208"/>
      <c r="C18" s="1206"/>
      <c r="D18" s="310" t="s">
        <v>858</v>
      </c>
      <c r="E18" s="311" t="s">
        <v>863</v>
      </c>
      <c r="F18" s="310" t="s">
        <v>865</v>
      </c>
      <c r="G18" s="312">
        <f>'KARGI-SOUTH HORR'!G13</f>
        <v>1500000</v>
      </c>
    </row>
    <row r="19" spans="2:7" ht="15" customHeight="1">
      <c r="B19" s="1208"/>
      <c r="C19" s="1206"/>
      <c r="D19" s="310" t="s">
        <v>862</v>
      </c>
      <c r="E19" s="311" t="s">
        <v>863</v>
      </c>
      <c r="F19" s="314" t="s">
        <v>866</v>
      </c>
      <c r="G19" s="312">
        <f>'KARGI-SOUTH HORR'!G14</f>
        <v>2500000</v>
      </c>
    </row>
    <row r="20" spans="2:7" ht="15" customHeight="1">
      <c r="B20" s="1208"/>
      <c r="C20" s="1206"/>
      <c r="D20" s="315" t="s">
        <v>883</v>
      </c>
      <c r="E20" s="316" t="s">
        <v>890</v>
      </c>
      <c r="F20" s="315" t="s">
        <v>275</v>
      </c>
      <c r="G20" s="312">
        <f>'KORR-NGURNIT'!G6</f>
        <v>3000000</v>
      </c>
    </row>
    <row r="21" spans="2:7" ht="15" customHeight="1">
      <c r="B21" s="1208"/>
      <c r="C21" s="1206"/>
      <c r="D21" s="315" t="s">
        <v>884</v>
      </c>
      <c r="E21" s="316" t="s">
        <v>890</v>
      </c>
      <c r="F21" s="315" t="s">
        <v>891</v>
      </c>
      <c r="G21" s="312">
        <f>'KORR-NGURNIT'!G7</f>
        <v>3500000</v>
      </c>
    </row>
    <row r="22" spans="2:7" ht="15" customHeight="1">
      <c r="B22" s="1208"/>
      <c r="C22" s="1206"/>
      <c r="D22" s="315" t="s">
        <v>885</v>
      </c>
      <c r="E22" s="316" t="s">
        <v>890</v>
      </c>
      <c r="F22" s="315" t="s">
        <v>891</v>
      </c>
      <c r="G22" s="312">
        <f>'KORR-NGURNIT'!G8</f>
        <v>3500000</v>
      </c>
    </row>
    <row r="23" spans="2:7" ht="15" customHeight="1">
      <c r="B23" s="1208"/>
      <c r="C23" s="1206"/>
      <c r="D23" s="315" t="s">
        <v>886</v>
      </c>
      <c r="E23" s="316" t="s">
        <v>890</v>
      </c>
      <c r="F23" s="315" t="s">
        <v>892</v>
      </c>
      <c r="G23" s="312">
        <f>'KORR-NGURNIT'!G9</f>
        <v>3000000</v>
      </c>
    </row>
    <row r="24" spans="2:7" ht="15" customHeight="1">
      <c r="B24" s="1208"/>
      <c r="C24" s="1206"/>
      <c r="D24" s="315" t="s">
        <v>887</v>
      </c>
      <c r="E24" s="316" t="s">
        <v>890</v>
      </c>
      <c r="F24" s="315" t="s">
        <v>893</v>
      </c>
      <c r="G24" s="312">
        <f>'KORR-NGURNIT'!G10</f>
        <v>600000</v>
      </c>
    </row>
    <row r="25" spans="2:7" ht="15" customHeight="1">
      <c r="B25" s="1208"/>
      <c r="C25" s="1206"/>
      <c r="D25" s="315" t="s">
        <v>888</v>
      </c>
      <c r="E25" s="316" t="s">
        <v>890</v>
      </c>
      <c r="F25" s="315" t="s">
        <v>893</v>
      </c>
      <c r="G25" s="312">
        <f>'KORR-NGURNIT'!G11</f>
        <v>1000000</v>
      </c>
    </row>
    <row r="26" spans="2:7" ht="15" customHeight="1">
      <c r="B26" s="1208"/>
      <c r="C26" s="1206"/>
      <c r="D26" s="315" t="s">
        <v>889</v>
      </c>
      <c r="E26" s="316" t="s">
        <v>890</v>
      </c>
      <c r="F26" s="315" t="s">
        <v>258</v>
      </c>
      <c r="G26" s="312">
        <f>'KORR-NGURNIT'!G12</f>
        <v>1500000</v>
      </c>
    </row>
    <row r="27" spans="2:7" ht="15" customHeight="1">
      <c r="B27" s="1208"/>
      <c r="C27" s="1206"/>
      <c r="D27" s="323" t="s">
        <v>523</v>
      </c>
      <c r="E27" s="323" t="s">
        <v>194</v>
      </c>
      <c r="F27" s="323" t="s">
        <v>524</v>
      </c>
      <c r="G27" s="329">
        <f>LAISAMI!G10</f>
        <v>1500000</v>
      </c>
    </row>
    <row r="28" spans="2:7" ht="15" customHeight="1">
      <c r="B28" s="1208"/>
      <c r="C28" s="1206"/>
      <c r="D28" s="323" t="s">
        <v>525</v>
      </c>
      <c r="E28" s="323" t="s">
        <v>194</v>
      </c>
      <c r="F28" s="323" t="s">
        <v>194</v>
      </c>
      <c r="G28" s="329">
        <f>LAISAMI!G11</f>
        <v>2700000</v>
      </c>
    </row>
    <row r="29" spans="2:7" ht="15" customHeight="1">
      <c r="B29" s="1208"/>
      <c r="C29" s="1206"/>
      <c r="D29" s="323" t="s">
        <v>526</v>
      </c>
      <c r="E29" s="323" t="s">
        <v>194</v>
      </c>
      <c r="F29" s="323" t="s">
        <v>527</v>
      </c>
      <c r="G29" s="329">
        <f>LAISAMI!G12</f>
        <v>2700000</v>
      </c>
    </row>
    <row r="30" spans="2:7" ht="15" customHeight="1">
      <c r="B30" s="1208"/>
      <c r="C30" s="1206"/>
      <c r="D30" s="323" t="s">
        <v>528</v>
      </c>
      <c r="E30" s="323" t="s">
        <v>194</v>
      </c>
      <c r="F30" s="323" t="s">
        <v>529</v>
      </c>
      <c r="G30" s="329">
        <f>LAISAMI!G13</f>
        <v>1500000</v>
      </c>
    </row>
    <row r="31" spans="2:7" ht="15" customHeight="1">
      <c r="B31" s="1208"/>
      <c r="C31" s="1206"/>
      <c r="D31" s="323" t="s">
        <v>530</v>
      </c>
      <c r="E31" s="323" t="s">
        <v>194</v>
      </c>
      <c r="F31" s="323" t="s">
        <v>527</v>
      </c>
      <c r="G31" s="329">
        <f>LAISAMI!G14</f>
        <v>4700000</v>
      </c>
    </row>
    <row r="32" spans="2:7" ht="15" customHeight="1">
      <c r="B32" s="1208"/>
      <c r="C32" s="1206"/>
      <c r="D32" s="323" t="s">
        <v>531</v>
      </c>
      <c r="E32" s="323" t="s">
        <v>194</v>
      </c>
      <c r="F32" s="323" t="s">
        <v>532</v>
      </c>
      <c r="G32" s="329">
        <f>LAISAMI!G15</f>
        <v>3000000</v>
      </c>
    </row>
    <row r="33" spans="2:7" ht="15" customHeight="1">
      <c r="B33" s="1208"/>
      <c r="C33" s="1206"/>
      <c r="D33" s="323" t="s">
        <v>533</v>
      </c>
      <c r="E33" s="323" t="s">
        <v>194</v>
      </c>
      <c r="F33" s="323" t="s">
        <v>534</v>
      </c>
      <c r="G33" s="329">
        <f>LAISAMI!G16</f>
        <v>3000000</v>
      </c>
    </row>
    <row r="34" spans="2:7" ht="15" customHeight="1">
      <c r="B34" s="1208"/>
      <c r="C34" s="1206"/>
      <c r="D34" s="323" t="s">
        <v>560</v>
      </c>
      <c r="E34" s="323" t="s">
        <v>538</v>
      </c>
      <c r="F34" s="323" t="s">
        <v>561</v>
      </c>
      <c r="G34" s="329">
        <f>LOGLOG!G9</f>
        <v>1800000</v>
      </c>
    </row>
    <row r="35" spans="2:7" ht="15" customHeight="1">
      <c r="B35" s="1208"/>
      <c r="C35" s="1206"/>
      <c r="D35" s="295" t="s">
        <v>562</v>
      </c>
      <c r="E35" s="295" t="s">
        <v>538</v>
      </c>
      <c r="F35" s="295" t="s">
        <v>559</v>
      </c>
      <c r="G35" s="341">
        <f>LOGLOG!G10</f>
        <v>1411960.36</v>
      </c>
    </row>
    <row r="36" spans="2:7" ht="15" customHeight="1">
      <c r="B36" s="1208"/>
      <c r="C36" s="1206"/>
      <c r="D36" s="323" t="s">
        <v>582</v>
      </c>
      <c r="E36" s="323" t="s">
        <v>567</v>
      </c>
      <c r="F36" s="323" t="s">
        <v>567</v>
      </c>
      <c r="G36" s="329">
        <f>LOIYANGALANI!G10</f>
        <v>1000000</v>
      </c>
    </row>
    <row r="37" spans="2:7" ht="15" customHeight="1">
      <c r="B37" s="1208"/>
      <c r="C37" s="1206"/>
      <c r="D37" s="323" t="s">
        <v>583</v>
      </c>
      <c r="E37" s="323" t="s">
        <v>567</v>
      </c>
      <c r="F37" s="323" t="s">
        <v>289</v>
      </c>
      <c r="G37" s="329">
        <f>LOIYANGALANI!G11</f>
        <v>2175795</v>
      </c>
    </row>
    <row r="38" spans="2:7" ht="15" customHeight="1">
      <c r="B38" s="1208"/>
      <c r="C38" s="1206"/>
      <c r="D38" s="323" t="s">
        <v>584</v>
      </c>
      <c r="E38" s="323" t="s">
        <v>567</v>
      </c>
      <c r="F38" s="323" t="s">
        <v>578</v>
      </c>
      <c r="G38" s="329">
        <f>LOIYANGALANI!G12</f>
        <v>2175795</v>
      </c>
    </row>
    <row r="39" spans="2:7" ht="15" customHeight="1" thickBot="1">
      <c r="B39" s="1214"/>
      <c r="C39" s="1215"/>
      <c r="D39" s="317"/>
      <c r="E39" s="318"/>
      <c r="F39" s="319"/>
      <c r="G39" s="320"/>
    </row>
    <row r="40" spans="2:7" ht="15" customHeight="1" thickBot="1">
      <c r="B40" s="285"/>
      <c r="C40" s="285"/>
      <c r="D40" s="298" t="s">
        <v>9</v>
      </c>
      <c r="E40" s="287"/>
      <c r="F40" s="287"/>
      <c r="G40" s="328">
        <f>SUM(G11:G39)</f>
        <v>56463550.36</v>
      </c>
    </row>
    <row r="41" spans="2:7" ht="15" customHeight="1">
      <c r="B41" s="1207">
        <v>3</v>
      </c>
      <c r="C41" s="1205" t="s">
        <v>0</v>
      </c>
      <c r="D41" s="289" t="s">
        <v>882</v>
      </c>
      <c r="E41" s="280" t="s">
        <v>863</v>
      </c>
      <c r="F41" s="279" t="s">
        <v>864</v>
      </c>
      <c r="G41" s="281">
        <v>3600000</v>
      </c>
    </row>
    <row r="42" spans="2:7" ht="15" customHeight="1">
      <c r="B42" s="1208"/>
      <c r="C42" s="1206"/>
      <c r="D42" s="279" t="s">
        <v>867</v>
      </c>
      <c r="E42" s="280" t="s">
        <v>863</v>
      </c>
      <c r="F42" s="279" t="s">
        <v>864</v>
      </c>
      <c r="G42" s="281">
        <v>3000000</v>
      </c>
    </row>
    <row r="43" spans="2:7" ht="15" customHeight="1">
      <c r="B43" s="1208"/>
      <c r="C43" s="1206"/>
      <c r="D43" s="279" t="s">
        <v>868</v>
      </c>
      <c r="E43" s="280" t="s">
        <v>863</v>
      </c>
      <c r="F43" s="279" t="s">
        <v>866</v>
      </c>
      <c r="G43" s="281">
        <v>1800000</v>
      </c>
    </row>
    <row r="44" spans="2:7" ht="15" customHeight="1">
      <c r="B44" s="1208"/>
      <c r="C44" s="1206"/>
      <c r="D44" s="279" t="s">
        <v>869</v>
      </c>
      <c r="E44" s="280" t="s">
        <v>863</v>
      </c>
      <c r="F44" s="279" t="s">
        <v>871</v>
      </c>
      <c r="G44" s="281">
        <v>1800000</v>
      </c>
    </row>
    <row r="45" spans="2:7" ht="15" customHeight="1">
      <c r="B45" s="1208"/>
      <c r="C45" s="1206"/>
      <c r="D45" s="279" t="s">
        <v>870</v>
      </c>
      <c r="E45" s="280" t="s">
        <v>863</v>
      </c>
      <c r="F45" s="279" t="s">
        <v>872</v>
      </c>
      <c r="G45" s="281">
        <v>1800000</v>
      </c>
    </row>
    <row r="46" spans="2:7" ht="15" customHeight="1">
      <c r="B46" s="1208"/>
      <c r="C46" s="1206"/>
      <c r="D46" s="305" t="s">
        <v>894</v>
      </c>
      <c r="E46" s="306" t="s">
        <v>890</v>
      </c>
      <c r="F46" s="305" t="s">
        <v>258</v>
      </c>
      <c r="G46" s="331">
        <v>3500000</v>
      </c>
    </row>
    <row r="47" spans="2:7" ht="15" customHeight="1">
      <c r="B47" s="1208"/>
      <c r="C47" s="1206"/>
      <c r="D47" s="305" t="s">
        <v>895</v>
      </c>
      <c r="E47" s="306" t="s">
        <v>890</v>
      </c>
      <c r="F47" s="305" t="s">
        <v>258</v>
      </c>
      <c r="G47" s="306">
        <v>2000000</v>
      </c>
    </row>
    <row r="48" spans="2:7" ht="15" customHeight="1">
      <c r="B48" s="1208"/>
      <c r="C48" s="1206"/>
      <c r="D48" s="305" t="s">
        <v>896</v>
      </c>
      <c r="E48" s="306" t="s">
        <v>890</v>
      </c>
      <c r="F48" s="305" t="s">
        <v>902</v>
      </c>
      <c r="G48" s="306">
        <v>2000000</v>
      </c>
    </row>
    <row r="49" spans="2:7" ht="15" customHeight="1">
      <c r="B49" s="1208"/>
      <c r="C49" s="1206"/>
      <c r="D49" s="305" t="s">
        <v>897</v>
      </c>
      <c r="E49" s="306" t="s">
        <v>890</v>
      </c>
      <c r="F49" s="305" t="s">
        <v>902</v>
      </c>
      <c r="G49" s="306">
        <v>3000000</v>
      </c>
    </row>
    <row r="50" spans="2:7" ht="15" customHeight="1">
      <c r="B50" s="1208"/>
      <c r="C50" s="1206"/>
      <c r="D50" s="305" t="s">
        <v>898</v>
      </c>
      <c r="E50" s="306" t="s">
        <v>890</v>
      </c>
      <c r="F50" s="305" t="s">
        <v>891</v>
      </c>
      <c r="G50" s="306">
        <v>3000000</v>
      </c>
    </row>
    <row r="51" spans="2:7" ht="15" customHeight="1">
      <c r="B51" s="1208"/>
      <c r="C51" s="1206"/>
      <c r="D51" s="305" t="s">
        <v>899</v>
      </c>
      <c r="E51" s="306" t="s">
        <v>890</v>
      </c>
      <c r="F51" s="305" t="s">
        <v>893</v>
      </c>
      <c r="G51" s="306">
        <v>5900000</v>
      </c>
    </row>
    <row r="52" spans="2:7" ht="15" customHeight="1">
      <c r="B52" s="1208"/>
      <c r="C52" s="1206"/>
      <c r="D52" s="305" t="s">
        <v>900</v>
      </c>
      <c r="E52" s="306" t="s">
        <v>890</v>
      </c>
      <c r="F52" s="305" t="s">
        <v>903</v>
      </c>
      <c r="G52" s="306">
        <v>1800000</v>
      </c>
    </row>
    <row r="53" spans="2:7" ht="15" customHeight="1">
      <c r="B53" s="1208"/>
      <c r="C53" s="1206"/>
      <c r="D53" s="305" t="s">
        <v>901</v>
      </c>
      <c r="E53" s="306" t="s">
        <v>890</v>
      </c>
      <c r="F53" s="305" t="s">
        <v>904</v>
      </c>
      <c r="G53" s="306">
        <v>3500000</v>
      </c>
    </row>
    <row r="54" spans="2:7" ht="15" customHeight="1">
      <c r="B54" s="1208"/>
      <c r="C54" s="1206"/>
      <c r="D54" s="323" t="s">
        <v>500</v>
      </c>
      <c r="E54" s="323" t="s">
        <v>194</v>
      </c>
      <c r="F54" s="323" t="s">
        <v>329</v>
      </c>
      <c r="G54" s="329">
        <f>LAISAMI!G19</f>
        <v>2300000</v>
      </c>
    </row>
    <row r="55" spans="2:7" ht="15" customHeight="1">
      <c r="B55" s="1208"/>
      <c r="C55" s="1206"/>
      <c r="D55" s="323" t="s">
        <v>501</v>
      </c>
      <c r="E55" s="323" t="s">
        <v>194</v>
      </c>
      <c r="F55" s="323" t="s">
        <v>329</v>
      </c>
      <c r="G55" s="329">
        <f>LAISAMI!G20</f>
        <v>6600000</v>
      </c>
    </row>
    <row r="56" spans="2:7" ht="15" customHeight="1">
      <c r="B56" s="1208"/>
      <c r="C56" s="1206"/>
      <c r="D56" s="323" t="s">
        <v>502</v>
      </c>
      <c r="E56" s="323" t="s">
        <v>194</v>
      </c>
      <c r="F56" s="323" t="s">
        <v>503</v>
      </c>
      <c r="G56" s="329">
        <f>LAISAMI!G21</f>
        <v>5600000</v>
      </c>
    </row>
    <row r="57" spans="2:7" ht="15" customHeight="1">
      <c r="B57" s="1208"/>
      <c r="C57" s="1206"/>
      <c r="D57" s="323" t="s">
        <v>504</v>
      </c>
      <c r="E57" s="323" t="s">
        <v>194</v>
      </c>
      <c r="F57" s="323" t="s">
        <v>503</v>
      </c>
      <c r="G57" s="329">
        <f>LAISAMI!G22</f>
        <v>1000000</v>
      </c>
    </row>
    <row r="58" spans="2:7" ht="15" customHeight="1">
      <c r="B58" s="1208"/>
      <c r="C58" s="1206"/>
      <c r="D58" s="323" t="s">
        <v>505</v>
      </c>
      <c r="E58" s="323" t="s">
        <v>194</v>
      </c>
      <c r="F58" s="323" t="s">
        <v>503</v>
      </c>
      <c r="G58" s="329">
        <f>LAISAMI!G23</f>
        <v>1195344.31</v>
      </c>
    </row>
    <row r="59" spans="2:7" ht="15" customHeight="1">
      <c r="B59" s="1208"/>
      <c r="C59" s="1206"/>
      <c r="D59" s="323" t="s">
        <v>506</v>
      </c>
      <c r="E59" s="323" t="s">
        <v>194</v>
      </c>
      <c r="F59" s="323" t="s">
        <v>507</v>
      </c>
      <c r="G59" s="329">
        <f>LAISAMI!G24</f>
        <v>600000</v>
      </c>
    </row>
    <row r="60" spans="2:7" ht="15" customHeight="1">
      <c r="B60" s="1208"/>
      <c r="C60" s="1206"/>
      <c r="D60" s="323" t="s">
        <v>537</v>
      </c>
      <c r="E60" s="323" t="s">
        <v>538</v>
      </c>
      <c r="F60" s="323" t="s">
        <v>539</v>
      </c>
      <c r="G60" s="329">
        <f>LOGLOG!G13</f>
        <v>5000000</v>
      </c>
    </row>
    <row r="61" spans="2:7" ht="15" customHeight="1">
      <c r="B61" s="1208"/>
      <c r="C61" s="1206"/>
      <c r="D61" s="323" t="s">
        <v>540</v>
      </c>
      <c r="E61" s="323" t="s">
        <v>538</v>
      </c>
      <c r="F61" s="323" t="s">
        <v>539</v>
      </c>
      <c r="G61" s="329">
        <f>LOGLOG!G14</f>
        <v>1000000</v>
      </c>
    </row>
    <row r="62" spans="2:7" ht="15" customHeight="1">
      <c r="B62" s="1208"/>
      <c r="C62" s="1206"/>
      <c r="D62" s="323" t="s">
        <v>541</v>
      </c>
      <c r="E62" s="323" t="s">
        <v>538</v>
      </c>
      <c r="F62" s="323" t="s">
        <v>539</v>
      </c>
      <c r="G62" s="329">
        <f>LOGLOG!G15</f>
        <v>600000</v>
      </c>
    </row>
    <row r="63" spans="2:7" ht="15" customHeight="1">
      <c r="B63" s="1208"/>
      <c r="C63" s="1206"/>
      <c r="D63" s="323" t="s">
        <v>542</v>
      </c>
      <c r="E63" s="323" t="s">
        <v>538</v>
      </c>
      <c r="F63" s="323" t="s">
        <v>539</v>
      </c>
      <c r="G63" s="329">
        <f>LOGLOG!G16</f>
        <v>1000000</v>
      </c>
    </row>
    <row r="64" spans="2:7" ht="15" customHeight="1">
      <c r="B64" s="1208"/>
      <c r="C64" s="1206"/>
      <c r="D64" s="323" t="s">
        <v>543</v>
      </c>
      <c r="E64" s="323" t="s">
        <v>538</v>
      </c>
      <c r="F64" s="323" t="s">
        <v>539</v>
      </c>
      <c r="G64" s="329">
        <f>LOGLOG!G17</f>
        <v>800000</v>
      </c>
    </row>
    <row r="65" spans="2:7" ht="15" customHeight="1">
      <c r="B65" s="1208"/>
      <c r="C65" s="1206"/>
      <c r="D65" s="323" t="s">
        <v>544</v>
      </c>
      <c r="E65" s="323" t="s">
        <v>538</v>
      </c>
      <c r="F65" s="323" t="s">
        <v>539</v>
      </c>
      <c r="G65" s="329">
        <f>LOGLOG!G18</f>
        <v>1600000</v>
      </c>
    </row>
    <row r="66" spans="2:7" ht="15" customHeight="1">
      <c r="B66" s="1208"/>
      <c r="C66" s="1206"/>
      <c r="D66" s="323" t="s">
        <v>545</v>
      </c>
      <c r="E66" s="323" t="s">
        <v>538</v>
      </c>
      <c r="F66" s="323" t="s">
        <v>546</v>
      </c>
      <c r="G66" s="329">
        <f>LOGLOG!G19</f>
        <v>500000</v>
      </c>
    </row>
    <row r="67" spans="2:7" ht="15" customHeight="1">
      <c r="B67" s="1208"/>
      <c r="C67" s="1206"/>
      <c r="D67" s="323" t="s">
        <v>547</v>
      </c>
      <c r="E67" s="323" t="s">
        <v>538</v>
      </c>
      <c r="F67" s="323" t="s">
        <v>162</v>
      </c>
      <c r="G67" s="329">
        <f>LOGLOG!G20</f>
        <v>900000</v>
      </c>
    </row>
    <row r="68" spans="2:7" ht="15" customHeight="1">
      <c r="B68" s="1208"/>
      <c r="C68" s="1206"/>
      <c r="D68" s="323" t="s">
        <v>566</v>
      </c>
      <c r="E68" s="323" t="s">
        <v>567</v>
      </c>
      <c r="F68" s="323" t="s">
        <v>290</v>
      </c>
      <c r="G68" s="329">
        <f>LOIYANGALANI!G14</f>
        <v>2000000</v>
      </c>
    </row>
    <row r="69" spans="2:7" ht="15" customHeight="1">
      <c r="B69" s="1208"/>
      <c r="C69" s="1206"/>
      <c r="D69" s="323" t="s">
        <v>568</v>
      </c>
      <c r="E69" s="323" t="s">
        <v>567</v>
      </c>
      <c r="F69" s="323" t="s">
        <v>569</v>
      </c>
      <c r="G69" s="329">
        <f>LOIYANGALANI!G15</f>
        <v>7060000</v>
      </c>
    </row>
    <row r="70" spans="2:7" ht="15" customHeight="1">
      <c r="B70" s="1208"/>
      <c r="C70" s="1206"/>
      <c r="D70" s="323" t="s">
        <v>570</v>
      </c>
      <c r="E70" s="323" t="s">
        <v>567</v>
      </c>
      <c r="F70" s="323" t="s">
        <v>571</v>
      </c>
      <c r="G70" s="329">
        <f>LOIYANGALANI!G16</f>
        <v>7060000</v>
      </c>
    </row>
    <row r="71" spans="2:7" ht="15" customHeight="1">
      <c r="B71" s="1208"/>
      <c r="C71" s="1206"/>
      <c r="D71" s="323" t="s">
        <v>572</v>
      </c>
      <c r="E71" s="323" t="s">
        <v>567</v>
      </c>
      <c r="F71" s="323" t="s">
        <v>573</v>
      </c>
      <c r="G71" s="329">
        <f>LOIYANGALANI!G17</f>
        <v>2800000</v>
      </c>
    </row>
    <row r="72" spans="2:7" ht="15" customHeight="1">
      <c r="B72" s="1208"/>
      <c r="C72" s="1206"/>
      <c r="D72" s="323" t="s">
        <v>574</v>
      </c>
      <c r="E72" s="323" t="s">
        <v>567</v>
      </c>
      <c r="F72" s="323" t="s">
        <v>575</v>
      </c>
      <c r="G72" s="329">
        <f>LOIYANGALANI!G18</f>
        <v>7060000</v>
      </c>
    </row>
    <row r="73" spans="2:7" ht="15" customHeight="1">
      <c r="B73" s="1208"/>
      <c r="C73" s="1206"/>
      <c r="D73" s="323" t="s">
        <v>576</v>
      </c>
      <c r="E73" s="323" t="s">
        <v>567</v>
      </c>
      <c r="F73" s="323" t="s">
        <v>573</v>
      </c>
      <c r="G73" s="329">
        <f>LOIYANGALANI!G19</f>
        <v>1500000</v>
      </c>
    </row>
    <row r="74" spans="2:7" ht="15" customHeight="1" thickBot="1">
      <c r="B74" s="1214"/>
      <c r="C74" s="1215"/>
      <c r="D74" s="323"/>
      <c r="E74" s="323"/>
      <c r="F74" s="323"/>
      <c r="G74" s="329"/>
    </row>
    <row r="75" spans="2:7" ht="15" customHeight="1" thickBot="1">
      <c r="B75" s="332"/>
      <c r="C75" s="291"/>
      <c r="D75" s="292" t="s">
        <v>9</v>
      </c>
      <c r="E75" s="293"/>
      <c r="F75" s="293"/>
      <c r="G75" s="333">
        <f>SUM(G41:G74)</f>
        <v>92875344.31</v>
      </c>
    </row>
    <row r="76" spans="2:7" ht="15" customHeight="1">
      <c r="B76" s="1243">
        <v>4</v>
      </c>
      <c r="C76" s="1205" t="s">
        <v>848</v>
      </c>
      <c r="D76" s="280" t="s">
        <v>875</v>
      </c>
      <c r="E76" s="283" t="s">
        <v>863</v>
      </c>
      <c r="F76" s="283" t="s">
        <v>864</v>
      </c>
      <c r="G76" s="281">
        <f>'KARGI-SOUTH HORR'!G22</f>
        <v>2000000</v>
      </c>
    </row>
    <row r="77" spans="2:7" ht="15" customHeight="1">
      <c r="B77" s="1246"/>
      <c r="C77" s="1206"/>
      <c r="D77" s="323"/>
      <c r="E77" s="323"/>
      <c r="F77" s="323"/>
      <c r="G77" s="329"/>
    </row>
    <row r="78" spans="2:7" ht="15" customHeight="1" thickBot="1">
      <c r="B78" s="1246"/>
      <c r="C78" s="1206"/>
      <c r="D78" s="336"/>
      <c r="E78" s="337"/>
      <c r="F78" s="337"/>
      <c r="G78" s="338"/>
    </row>
    <row r="79" spans="2:7" ht="15" customHeight="1" thickBot="1">
      <c r="B79" s="291"/>
      <c r="C79" s="293"/>
      <c r="D79" s="292" t="s">
        <v>9</v>
      </c>
      <c r="E79" s="293"/>
      <c r="F79" s="293"/>
      <c r="G79" s="333">
        <f>SUM(G76:G78)</f>
        <v>2000000</v>
      </c>
    </row>
    <row r="80" spans="2:7" ht="15" customHeight="1">
      <c r="B80" s="1207">
        <v>5</v>
      </c>
      <c r="C80" s="1205" t="s">
        <v>390</v>
      </c>
      <c r="D80" s="352" t="s">
        <v>905</v>
      </c>
      <c r="E80" s="352" t="s">
        <v>890</v>
      </c>
      <c r="F80" s="352" t="s">
        <v>258</v>
      </c>
      <c r="G80" s="353">
        <f>'KORR-NGURNIT'!G26</f>
        <v>2000000</v>
      </c>
    </row>
    <row r="81" spans="2:7" ht="15" customHeight="1">
      <c r="B81" s="1208"/>
      <c r="C81" s="1206"/>
      <c r="D81" s="321"/>
      <c r="E81" s="321"/>
      <c r="F81" s="321"/>
      <c r="G81" s="322"/>
    </row>
    <row r="82" spans="2:7" ht="15" customHeight="1" thickBot="1">
      <c r="B82" s="1208"/>
      <c r="C82" s="1206"/>
      <c r="D82" s="339"/>
      <c r="E82" s="339"/>
      <c r="F82" s="339"/>
      <c r="G82" s="340"/>
    </row>
    <row r="83" spans="2:7" ht="15" customHeight="1" thickBot="1">
      <c r="B83" s="291"/>
      <c r="C83" s="293"/>
      <c r="D83" s="292" t="s">
        <v>9</v>
      </c>
      <c r="E83" s="293"/>
      <c r="F83" s="293"/>
      <c r="G83" s="333">
        <f>SUM(G80:G82)</f>
        <v>2000000</v>
      </c>
    </row>
    <row r="84" spans="2:7" ht="15" customHeight="1">
      <c r="B84" s="1207">
        <v>6</v>
      </c>
      <c r="C84" s="1205" t="s">
        <v>399</v>
      </c>
      <c r="D84" s="273" t="s">
        <v>520</v>
      </c>
      <c r="E84" s="323" t="s">
        <v>194</v>
      </c>
      <c r="F84" s="273" t="s">
        <v>521</v>
      </c>
      <c r="G84" s="329">
        <f>LAISAMI!G28</f>
        <v>3000000</v>
      </c>
    </row>
    <row r="85" spans="2:7" ht="15" customHeight="1">
      <c r="B85" s="1208"/>
      <c r="C85" s="1206"/>
      <c r="D85" s="354" t="s">
        <v>557</v>
      </c>
      <c r="E85" s="321" t="s">
        <v>558</v>
      </c>
      <c r="F85" s="321" t="s">
        <v>559</v>
      </c>
      <c r="G85" s="322">
        <f>LOGLOG!G23</f>
        <v>4000000</v>
      </c>
    </row>
    <row r="86" spans="2:7" ht="15" customHeight="1">
      <c r="B86" s="1208"/>
      <c r="C86" s="1206"/>
      <c r="D86" s="355" t="s">
        <v>580</v>
      </c>
      <c r="E86" s="355" t="s">
        <v>567</v>
      </c>
      <c r="F86" s="355" t="s">
        <v>581</v>
      </c>
      <c r="G86" s="356">
        <f>LOIYANGALANI!G21</f>
        <v>4000000</v>
      </c>
    </row>
    <row r="87" spans="2:7" ht="15" customHeight="1" thickBot="1">
      <c r="B87" s="1208"/>
      <c r="C87" s="1206"/>
      <c r="D87" s="323"/>
      <c r="E87" s="323"/>
      <c r="F87" s="323"/>
      <c r="G87" s="329"/>
    </row>
    <row r="88" spans="2:7" ht="15" customHeight="1" thickBot="1">
      <c r="B88" s="285"/>
      <c r="C88" s="285"/>
      <c r="D88" s="298" t="s">
        <v>9</v>
      </c>
      <c r="E88" s="287"/>
      <c r="F88" s="287"/>
      <c r="G88" s="328">
        <f>SUM(G84:G87)</f>
        <v>11000000</v>
      </c>
    </row>
    <row r="89" spans="2:7" ht="15" customHeight="1">
      <c r="B89" s="1207">
        <v>7</v>
      </c>
      <c r="C89" s="1205" t="s">
        <v>346</v>
      </c>
      <c r="D89" s="339" t="s">
        <v>876</v>
      </c>
      <c r="E89" s="339" t="s">
        <v>873</v>
      </c>
      <c r="F89" s="339" t="s">
        <v>864</v>
      </c>
      <c r="G89" s="340">
        <f>'KARGI-SOUTH HORR'!G25</f>
        <v>3000000</v>
      </c>
    </row>
    <row r="90" spans="2:7" ht="15" customHeight="1">
      <c r="B90" s="1208"/>
      <c r="C90" s="1206"/>
      <c r="D90" s="339" t="s">
        <v>877</v>
      </c>
      <c r="E90" s="339" t="s">
        <v>873</v>
      </c>
      <c r="F90" s="339" t="s">
        <v>872</v>
      </c>
      <c r="G90" s="340">
        <f>'KARGI-SOUTH HORR'!G26</f>
        <v>6000000</v>
      </c>
    </row>
    <row r="91" spans="2:7" ht="15" customHeight="1">
      <c r="B91" s="1208"/>
      <c r="C91" s="1206"/>
      <c r="D91" s="324" t="s">
        <v>878</v>
      </c>
      <c r="E91" s="323" t="s">
        <v>873</v>
      </c>
      <c r="F91" s="323" t="s">
        <v>866</v>
      </c>
      <c r="G91" s="329">
        <f>'KARGI-SOUTH HORR'!G27</f>
        <v>3000000</v>
      </c>
    </row>
    <row r="92" spans="2:7" ht="15" customHeight="1">
      <c r="B92" s="1208"/>
      <c r="C92" s="1206"/>
      <c r="D92" s="323" t="s">
        <v>879</v>
      </c>
      <c r="E92" s="323" t="s">
        <v>873</v>
      </c>
      <c r="F92" s="323" t="s">
        <v>864</v>
      </c>
      <c r="G92" s="329">
        <f>'KARGI-SOUTH HORR'!G28</f>
        <v>4000000</v>
      </c>
    </row>
    <row r="93" spans="2:7" ht="15" customHeight="1">
      <c r="B93" s="1208"/>
      <c r="C93" s="1206"/>
      <c r="D93" s="326" t="s">
        <v>880</v>
      </c>
      <c r="E93" s="326" t="s">
        <v>873</v>
      </c>
      <c r="F93" s="326" t="s">
        <v>874</v>
      </c>
      <c r="G93" s="342">
        <f>'KARGI-SOUTH HORR'!G29</f>
        <v>1500000</v>
      </c>
    </row>
    <row r="94" spans="2:7" ht="15" customHeight="1">
      <c r="B94" s="1208"/>
      <c r="C94" s="1206"/>
      <c r="D94" s="326" t="s">
        <v>881</v>
      </c>
      <c r="E94" s="326" t="s">
        <v>873</v>
      </c>
      <c r="F94" s="326" t="s">
        <v>872</v>
      </c>
      <c r="G94" s="342">
        <f>'KARGI-SOUTH HORR'!G30</f>
        <v>1500000</v>
      </c>
    </row>
    <row r="95" spans="2:7" ht="15" customHeight="1">
      <c r="B95" s="1208"/>
      <c r="C95" s="1206"/>
      <c r="D95" s="326" t="s">
        <v>906</v>
      </c>
      <c r="E95" s="326" t="s">
        <v>890</v>
      </c>
      <c r="F95" s="326" t="s">
        <v>911</v>
      </c>
      <c r="G95" s="342">
        <f>'KORR-NGURNIT'!G29</f>
        <v>2000000</v>
      </c>
    </row>
    <row r="96" spans="2:7" ht="15" customHeight="1">
      <c r="B96" s="1208"/>
      <c r="C96" s="1206"/>
      <c r="D96" s="326" t="s">
        <v>907</v>
      </c>
      <c r="E96" s="326" t="s">
        <v>890</v>
      </c>
      <c r="F96" s="326" t="s">
        <v>902</v>
      </c>
      <c r="G96" s="342">
        <f>'KORR-NGURNIT'!G30</f>
        <v>4000000</v>
      </c>
    </row>
    <row r="97" spans="2:7" ht="15" customHeight="1">
      <c r="B97" s="1208"/>
      <c r="C97" s="1206"/>
      <c r="D97" s="326" t="s">
        <v>908</v>
      </c>
      <c r="E97" s="326" t="s">
        <v>890</v>
      </c>
      <c r="F97" s="326" t="s">
        <v>912</v>
      </c>
      <c r="G97" s="342">
        <f>'KORR-NGURNIT'!G31</f>
        <v>4000000</v>
      </c>
    </row>
    <row r="98" spans="2:7" ht="15" customHeight="1">
      <c r="B98" s="1208"/>
      <c r="C98" s="1206"/>
      <c r="D98" s="323" t="s">
        <v>909</v>
      </c>
      <c r="E98" s="323" t="s">
        <v>890</v>
      </c>
      <c r="F98" s="323" t="s">
        <v>913</v>
      </c>
      <c r="G98" s="329">
        <f>'KORR-NGURNIT'!G32</f>
        <v>2000000</v>
      </c>
    </row>
    <row r="99" spans="2:7" ht="15" customHeight="1">
      <c r="B99" s="1208"/>
      <c r="C99" s="1206"/>
      <c r="D99" s="323" t="s">
        <v>910</v>
      </c>
      <c r="E99" s="323" t="s">
        <v>890</v>
      </c>
      <c r="F99" s="323" t="s">
        <v>893</v>
      </c>
      <c r="G99" s="329">
        <f>'KORR-NGURNIT'!G33</f>
        <v>3000000</v>
      </c>
    </row>
    <row r="100" spans="2:7" ht="15" customHeight="1">
      <c r="B100" s="1208"/>
      <c r="C100" s="1206"/>
      <c r="D100" s="173" t="s">
        <v>509</v>
      </c>
      <c r="E100" s="173" t="s">
        <v>194</v>
      </c>
      <c r="F100" s="173" t="s">
        <v>510</v>
      </c>
      <c r="G100" s="213">
        <f>LAISAMI!G31</f>
        <v>2700000</v>
      </c>
    </row>
    <row r="101" spans="2:7" ht="15" customHeight="1">
      <c r="B101" s="1208"/>
      <c r="C101" s="1206"/>
      <c r="D101" s="173" t="s">
        <v>511</v>
      </c>
      <c r="E101" s="173" t="s">
        <v>194</v>
      </c>
      <c r="F101" s="173" t="s">
        <v>512</v>
      </c>
      <c r="G101" s="213">
        <f>LAISAMI!G32</f>
        <v>2600000</v>
      </c>
    </row>
    <row r="102" spans="2:7" ht="15" customHeight="1">
      <c r="B102" s="1208"/>
      <c r="C102" s="1206"/>
      <c r="D102" s="173" t="s">
        <v>513</v>
      </c>
      <c r="E102" s="173" t="s">
        <v>194</v>
      </c>
      <c r="F102" s="173" t="s">
        <v>514</v>
      </c>
      <c r="G102" s="213">
        <f>LAISAMI!G33</f>
        <v>1200000</v>
      </c>
    </row>
    <row r="103" spans="2:7" ht="15" customHeight="1">
      <c r="B103" s="1208"/>
      <c r="C103" s="1206"/>
      <c r="D103" s="173" t="s">
        <v>515</v>
      </c>
      <c r="E103" s="173" t="s">
        <v>194</v>
      </c>
      <c r="F103" s="173" t="s">
        <v>516</v>
      </c>
      <c r="G103" s="213">
        <f>LAISAMI!G34</f>
        <v>1000000</v>
      </c>
    </row>
    <row r="104" spans="2:7" ht="15" customHeight="1">
      <c r="B104" s="1208"/>
      <c r="C104" s="1206"/>
      <c r="D104" s="173" t="s">
        <v>517</v>
      </c>
      <c r="E104" s="173" t="s">
        <v>194</v>
      </c>
      <c r="F104" s="173" t="s">
        <v>518</v>
      </c>
      <c r="G104" s="213">
        <f>LAISAMI!G35</f>
        <v>500000</v>
      </c>
    </row>
    <row r="105" spans="2:7" ht="15" customHeight="1">
      <c r="B105" s="1208"/>
      <c r="C105" s="1206"/>
      <c r="D105" s="176" t="s">
        <v>548</v>
      </c>
      <c r="E105" s="176" t="s">
        <v>538</v>
      </c>
      <c r="F105" s="176" t="s">
        <v>549</v>
      </c>
      <c r="G105" s="248">
        <f>LOGLOG!G26</f>
        <v>1500000</v>
      </c>
    </row>
    <row r="106" spans="2:7" ht="15" customHeight="1">
      <c r="B106" s="1208"/>
      <c r="C106" s="1206"/>
      <c r="D106" s="167" t="s">
        <v>550</v>
      </c>
      <c r="E106" s="167" t="s">
        <v>538</v>
      </c>
      <c r="F106" s="167" t="s">
        <v>551</v>
      </c>
      <c r="G106" s="212">
        <f>LOGLOG!G27</f>
        <v>1500000</v>
      </c>
    </row>
    <row r="107" spans="2:7" ht="15" customHeight="1">
      <c r="B107" s="1208"/>
      <c r="C107" s="1206"/>
      <c r="D107" s="167" t="s">
        <v>552</v>
      </c>
      <c r="E107" s="167" t="s">
        <v>538</v>
      </c>
      <c r="F107" s="167" t="s">
        <v>553</v>
      </c>
      <c r="G107" s="212">
        <f>LOGLOG!G28</f>
        <v>2400000</v>
      </c>
    </row>
    <row r="108" spans="2:7" ht="15" customHeight="1">
      <c r="B108" s="1208"/>
      <c r="C108" s="1206"/>
      <c r="D108" s="173" t="s">
        <v>554</v>
      </c>
      <c r="E108" s="173" t="s">
        <v>538</v>
      </c>
      <c r="F108" s="173" t="s">
        <v>162</v>
      </c>
      <c r="G108" s="213">
        <f>LOGLOG!G29</f>
        <v>4000000</v>
      </c>
    </row>
    <row r="109" spans="2:7" ht="15" customHeight="1">
      <c r="B109" s="1208"/>
      <c r="C109" s="1206"/>
      <c r="D109" s="173" t="s">
        <v>555</v>
      </c>
      <c r="E109" s="173" t="s">
        <v>538</v>
      </c>
      <c r="F109" s="173" t="s">
        <v>162</v>
      </c>
      <c r="G109" s="213">
        <f>LOGLOG!G30</f>
        <v>2000000</v>
      </c>
    </row>
    <row r="110" spans="2:7" ht="15" customHeight="1">
      <c r="B110" s="1208"/>
      <c r="C110" s="1206"/>
      <c r="D110" s="321" t="s">
        <v>577</v>
      </c>
      <c r="E110" s="321" t="s">
        <v>567</v>
      </c>
      <c r="F110" s="321" t="s">
        <v>578</v>
      </c>
      <c r="G110" s="322">
        <f>LOIYANGALANI!G24</f>
        <v>4000000</v>
      </c>
    </row>
    <row r="111" spans="2:7" ht="15" customHeight="1">
      <c r="B111" s="1208"/>
      <c r="C111" s="1206"/>
      <c r="D111" s="323" t="s">
        <v>579</v>
      </c>
      <c r="E111" s="321" t="s">
        <v>567</v>
      </c>
      <c r="F111" s="323" t="s">
        <v>291</v>
      </c>
      <c r="G111" s="329">
        <f>LOIYANGALANI!G25</f>
        <v>4000000</v>
      </c>
    </row>
    <row r="112" spans="2:7" ht="15" customHeight="1" thickBot="1">
      <c r="B112" s="1214"/>
      <c r="C112" s="1215"/>
      <c r="D112" s="323"/>
      <c r="E112" s="323"/>
      <c r="F112" s="323"/>
      <c r="G112" s="329"/>
    </row>
    <row r="113" spans="2:7" ht="15" customHeight="1" thickBot="1">
      <c r="B113" s="291"/>
      <c r="C113" s="291"/>
      <c r="D113" s="292" t="s">
        <v>9</v>
      </c>
      <c r="E113" s="293"/>
      <c r="F113" s="293"/>
      <c r="G113" s="343">
        <f>SUM(G89:G112)</f>
        <v>61400000</v>
      </c>
    </row>
    <row r="114" spans="2:7" ht="15" customHeight="1">
      <c r="B114" s="1207">
        <v>8</v>
      </c>
      <c r="C114" s="302"/>
      <c r="D114" s="295"/>
      <c r="E114" s="295"/>
      <c r="F114" s="295"/>
      <c r="G114" s="341"/>
    </row>
    <row r="115" spans="2:3" ht="15" customHeight="1">
      <c r="B115" s="1208"/>
      <c r="C115" s="1216" t="s">
        <v>190</v>
      </c>
    </row>
    <row r="116" spans="2:7" ht="15" customHeight="1">
      <c r="B116" s="1208"/>
      <c r="C116" s="1245"/>
      <c r="D116" s="295"/>
      <c r="E116" s="295"/>
      <c r="F116" s="295"/>
      <c r="G116" s="341"/>
    </row>
    <row r="117" spans="2:7" ht="15" customHeight="1" thickBot="1">
      <c r="B117" s="1214"/>
      <c r="C117" s="302"/>
      <c r="D117" s="295"/>
      <c r="E117" s="295"/>
      <c r="F117" s="295"/>
      <c r="G117" s="341"/>
    </row>
    <row r="118" spans="2:7" ht="15" customHeight="1" thickBot="1">
      <c r="B118" s="285"/>
      <c r="C118" s="285"/>
      <c r="D118" s="298" t="s">
        <v>9</v>
      </c>
      <c r="E118" s="287"/>
      <c r="F118" s="287"/>
      <c r="G118" s="328">
        <f>SUM(G114:G117)</f>
        <v>0</v>
      </c>
    </row>
    <row r="119" spans="2:7" ht="15" customHeight="1">
      <c r="B119" s="1207">
        <v>9</v>
      </c>
      <c r="C119" s="1205" t="s">
        <v>406</v>
      </c>
      <c r="D119" s="321" t="s">
        <v>587</v>
      </c>
      <c r="E119" s="321" t="s">
        <v>567</v>
      </c>
      <c r="F119" s="321" t="s">
        <v>289</v>
      </c>
      <c r="G119" s="322">
        <f>LOIYANGALANI!G28</f>
        <v>3600000</v>
      </c>
    </row>
    <row r="120" spans="2:7" ht="15" customHeight="1" thickBot="1">
      <c r="B120" s="1208"/>
      <c r="C120" s="1206"/>
      <c r="D120" s="281" t="s">
        <v>914</v>
      </c>
      <c r="E120" s="281" t="s">
        <v>890</v>
      </c>
      <c r="F120" s="281" t="s">
        <v>275</v>
      </c>
      <c r="G120" s="437">
        <v>2600000</v>
      </c>
    </row>
    <row r="121" spans="2:7" ht="15" customHeight="1" thickBot="1">
      <c r="B121" s="1208"/>
      <c r="C121" s="1206"/>
      <c r="D121" s="292" t="s">
        <v>9</v>
      </c>
      <c r="E121" s="293"/>
      <c r="F121" s="293"/>
      <c r="G121" s="343">
        <f>SUM(G119:G120)</f>
        <v>6200000</v>
      </c>
    </row>
    <row r="122" spans="2:7" ht="15" customHeight="1" thickBot="1">
      <c r="B122" s="1214"/>
      <c r="C122" s="1215"/>
      <c r="D122" s="323"/>
      <c r="E122" s="323"/>
      <c r="F122" s="323"/>
      <c r="G122" s="329"/>
    </row>
    <row r="123" spans="2:7" ht="15" customHeight="1" thickBot="1">
      <c r="B123" s="285"/>
      <c r="C123" s="285"/>
      <c r="D123" s="298" t="s">
        <v>915</v>
      </c>
      <c r="E123" s="287"/>
      <c r="F123" s="287"/>
      <c r="G123" s="328">
        <f>SUM(G121,G118,G113,G88,G83,G79,G75,G40,G10)</f>
        <v>240138894.67000002</v>
      </c>
    </row>
  </sheetData>
  <sheetProtection/>
  <mergeCells count="21">
    <mergeCell ref="B119:B122"/>
    <mergeCell ref="C119:C122"/>
    <mergeCell ref="C80:C82"/>
    <mergeCell ref="B84:B87"/>
    <mergeCell ref="C84:C87"/>
    <mergeCell ref="C89:C112"/>
    <mergeCell ref="B80:B82"/>
    <mergeCell ref="B1:G1"/>
    <mergeCell ref="B2:G2"/>
    <mergeCell ref="C3:G3"/>
    <mergeCell ref="B6:B9"/>
    <mergeCell ref="B41:B74"/>
    <mergeCell ref="C11:C39"/>
    <mergeCell ref="B11:B39"/>
    <mergeCell ref="C41:C74"/>
    <mergeCell ref="B76:B78"/>
    <mergeCell ref="C6:C9"/>
    <mergeCell ref="C115:C116"/>
    <mergeCell ref="C76:C78"/>
    <mergeCell ref="B114:B117"/>
    <mergeCell ref="B89:B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D16" sqref="D16:G18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42.140625" style="1" bestFit="1" customWidth="1"/>
    <col min="5" max="5" width="16.00390625" style="1" customWidth="1"/>
    <col min="6" max="6" width="28.421875" style="1" bestFit="1" customWidth="1"/>
    <col min="7" max="7" width="19.421875" style="1" customWidth="1"/>
    <col min="8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/>
      <c r="C2" s="1143"/>
      <c r="D2" s="1143"/>
      <c r="E2" s="1143"/>
      <c r="F2" s="1143"/>
      <c r="G2" s="1143"/>
    </row>
    <row r="3" spans="2:7" ht="15" customHeight="1">
      <c r="B3" s="1145" t="s">
        <v>487</v>
      </c>
      <c r="C3" s="1145"/>
      <c r="D3" s="1145"/>
      <c r="E3" s="1145"/>
      <c r="F3" s="1145"/>
      <c r="G3" s="1145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151">
        <v>1</v>
      </c>
      <c r="C6" s="1148" t="s">
        <v>339</v>
      </c>
      <c r="D6" s="173" t="s">
        <v>350</v>
      </c>
      <c r="E6" s="173" t="s">
        <v>344</v>
      </c>
      <c r="F6" s="173" t="s">
        <v>351</v>
      </c>
      <c r="G6" s="174">
        <v>7000000</v>
      </c>
    </row>
    <row r="7" spans="2:7" ht="15" customHeight="1">
      <c r="B7" s="1152"/>
      <c r="C7" s="1149"/>
      <c r="D7" s="173" t="s">
        <v>357</v>
      </c>
      <c r="E7" s="173" t="s">
        <v>344</v>
      </c>
      <c r="F7" s="173" t="s">
        <v>358</v>
      </c>
      <c r="G7" s="174">
        <v>3000000</v>
      </c>
    </row>
    <row r="8" spans="2:7" ht="15" customHeight="1">
      <c r="B8" s="1152"/>
      <c r="C8" s="1149"/>
      <c r="D8" s="173" t="s">
        <v>352</v>
      </c>
      <c r="E8" s="173" t="s">
        <v>344</v>
      </c>
      <c r="F8" s="173" t="s">
        <v>353</v>
      </c>
      <c r="G8" s="174">
        <v>3000000</v>
      </c>
    </row>
    <row r="9" spans="2:7" ht="15" customHeight="1" thickBot="1">
      <c r="B9" s="1153"/>
      <c r="C9" s="1150"/>
      <c r="D9" s="167"/>
      <c r="E9" s="167"/>
      <c r="F9" s="167"/>
      <c r="G9" s="169"/>
    </row>
    <row r="10" spans="2:7" ht="15" customHeight="1" thickBot="1">
      <c r="B10" s="185"/>
      <c r="C10" s="180"/>
      <c r="D10" s="179" t="s">
        <v>9</v>
      </c>
      <c r="E10" s="180"/>
      <c r="F10" s="180"/>
      <c r="G10" s="184">
        <f>SUM(G6:G9)</f>
        <v>13000000</v>
      </c>
    </row>
    <row r="11" spans="2:7" ht="15" customHeight="1">
      <c r="B11" s="1154">
        <v>2</v>
      </c>
      <c r="C11" s="175"/>
      <c r="D11" s="182"/>
      <c r="E11" s="176"/>
      <c r="F11" s="176"/>
      <c r="G11" s="177"/>
    </row>
    <row r="12" spans="2:7" ht="14.25" customHeight="1">
      <c r="B12" s="1152"/>
      <c r="C12" s="1148" t="s">
        <v>355</v>
      </c>
      <c r="D12" s="173" t="s">
        <v>354</v>
      </c>
      <c r="E12" s="173" t="s">
        <v>344</v>
      </c>
      <c r="F12" s="173" t="s">
        <v>356</v>
      </c>
      <c r="G12" s="174">
        <v>7000000</v>
      </c>
    </row>
    <row r="13" spans="2:7" ht="15" customHeight="1">
      <c r="B13" s="1152"/>
      <c r="C13" s="1149"/>
      <c r="D13" s="170"/>
      <c r="E13" s="170"/>
      <c r="F13" s="170"/>
      <c r="G13" s="171"/>
    </row>
    <row r="14" spans="2:7" ht="15" customHeight="1" thickBot="1">
      <c r="B14" s="1153"/>
      <c r="C14" s="1150"/>
      <c r="D14" s="170"/>
      <c r="E14" s="170"/>
      <c r="F14" s="170"/>
      <c r="G14" s="171"/>
    </row>
    <row r="15" spans="2:7" ht="15" customHeight="1" thickBot="1">
      <c r="B15" s="193"/>
      <c r="C15" s="194"/>
      <c r="D15" s="195" t="s">
        <v>9</v>
      </c>
      <c r="E15" s="196"/>
      <c r="F15" s="196"/>
      <c r="G15" s="197">
        <f>SUM(G12:G14)</f>
        <v>7000000</v>
      </c>
    </row>
    <row r="16" spans="2:7" ht="15" customHeight="1">
      <c r="B16" s="1154">
        <v>3</v>
      </c>
      <c r="C16" s="1146" t="s">
        <v>337</v>
      </c>
      <c r="D16" s="176" t="s">
        <v>361</v>
      </c>
      <c r="E16" s="176" t="s">
        <v>344</v>
      </c>
      <c r="F16" s="176" t="s">
        <v>338</v>
      </c>
      <c r="G16" s="189">
        <v>4000000</v>
      </c>
    </row>
    <row r="17" spans="2:7" ht="15" customHeight="1">
      <c r="B17" s="1152"/>
      <c r="C17" s="1147"/>
      <c r="D17" s="167" t="s">
        <v>345</v>
      </c>
      <c r="E17" s="167" t="s">
        <v>344</v>
      </c>
      <c r="F17" s="167" t="s">
        <v>347</v>
      </c>
      <c r="G17" s="169">
        <v>8000000</v>
      </c>
    </row>
    <row r="18" spans="2:7" ht="15" customHeight="1">
      <c r="B18" s="1152"/>
      <c r="C18" s="1147"/>
      <c r="D18" s="167" t="s">
        <v>348</v>
      </c>
      <c r="E18" s="167" t="s">
        <v>344</v>
      </c>
      <c r="F18" s="167" t="s">
        <v>349</v>
      </c>
      <c r="G18" s="169">
        <v>8000000</v>
      </c>
    </row>
    <row r="19" spans="2:7" ht="15" customHeight="1" thickBot="1">
      <c r="B19" s="1153"/>
      <c r="C19" s="172"/>
      <c r="D19" s="173"/>
      <c r="E19" s="173"/>
      <c r="F19" s="173"/>
      <c r="G19" s="174"/>
    </row>
    <row r="20" spans="2:7" ht="15" customHeight="1" thickBot="1">
      <c r="B20" s="183"/>
      <c r="C20" s="178"/>
      <c r="D20" s="179" t="s">
        <v>9</v>
      </c>
      <c r="E20" s="180"/>
      <c r="F20" s="180"/>
      <c r="G20" s="184">
        <f>SUM(G16:G19)</f>
        <v>20000000</v>
      </c>
    </row>
    <row r="21" spans="2:7" ht="15" customHeight="1" thickBot="1">
      <c r="B21" s="204"/>
      <c r="C21" s="205"/>
      <c r="D21" s="206" t="s">
        <v>416</v>
      </c>
      <c r="E21" s="207"/>
      <c r="F21" s="207"/>
      <c r="G21" s="208">
        <f>SUM(G15,G10,G20)</f>
        <v>40000000</v>
      </c>
    </row>
    <row r="23" ht="15" customHeight="1">
      <c r="G23" s="4"/>
    </row>
  </sheetData>
  <sheetProtection/>
  <mergeCells count="9">
    <mergeCell ref="B1:G1"/>
    <mergeCell ref="B2:G2"/>
    <mergeCell ref="B3:G3"/>
    <mergeCell ref="C16:C18"/>
    <mergeCell ref="C6:C9"/>
    <mergeCell ref="C12:C14"/>
    <mergeCell ref="B6:B9"/>
    <mergeCell ref="B11:B14"/>
    <mergeCell ref="B16:B1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86"/>
  <sheetViews>
    <sheetView zoomScalePageLayoutView="0" workbookViewId="0" topLeftCell="A26">
      <selection activeCell="K40" sqref="K40"/>
    </sheetView>
  </sheetViews>
  <sheetFormatPr defaultColWidth="9.140625" defaultRowHeight="15" customHeight="1"/>
  <cols>
    <col min="1" max="1" width="2.8515625" style="1" customWidth="1"/>
    <col min="2" max="2" width="5.8515625" style="1" bestFit="1" customWidth="1"/>
    <col min="3" max="3" width="16.57421875" style="1" customWidth="1"/>
    <col min="4" max="4" width="69.28125" style="1" bestFit="1" customWidth="1"/>
    <col min="5" max="5" width="16.00390625" style="1" customWidth="1"/>
    <col min="6" max="6" width="12.28125" style="1" bestFit="1" customWidth="1"/>
    <col min="7" max="7" width="15.421875" style="4" customWidth="1"/>
    <col min="8" max="8" width="9.140625" style="1" customWidth="1"/>
    <col min="9" max="9" width="12.00390625" style="1" customWidth="1"/>
    <col min="10" max="10" width="11.140625" style="1" customWidth="1"/>
    <col min="11" max="11" width="11.57421875" style="1" customWidth="1"/>
    <col min="12" max="16384" width="9.140625" style="1" customWidth="1"/>
  </cols>
  <sheetData>
    <row r="1" spans="2:8" ht="15" customHeight="1">
      <c r="B1" s="1144" t="s">
        <v>496</v>
      </c>
      <c r="C1" s="1144"/>
      <c r="D1" s="1144"/>
      <c r="E1" s="1144"/>
      <c r="F1" s="1144"/>
      <c r="G1" s="1144"/>
      <c r="H1" s="1144"/>
    </row>
    <row r="2" spans="2:8" ht="15" customHeight="1">
      <c r="B2" s="1144" t="s">
        <v>589</v>
      </c>
      <c r="C2" s="1144"/>
      <c r="D2" s="1144"/>
      <c r="E2" s="1144"/>
      <c r="F2" s="1144"/>
      <c r="G2" s="1144"/>
      <c r="H2" s="1144"/>
    </row>
    <row r="3" spans="2:8" ht="15" customHeight="1">
      <c r="B3" s="223"/>
      <c r="C3" s="1144" t="s">
        <v>590</v>
      </c>
      <c r="D3" s="1144"/>
      <c r="E3" s="1144"/>
      <c r="F3" s="1144"/>
      <c r="G3" s="1144"/>
      <c r="H3" s="1144"/>
    </row>
    <row r="5" spans="2:7" ht="25.5">
      <c r="B5" s="265" t="s">
        <v>4</v>
      </c>
      <c r="C5" s="234" t="s">
        <v>8</v>
      </c>
      <c r="D5" s="164" t="s">
        <v>23</v>
      </c>
      <c r="E5" s="164" t="s">
        <v>7</v>
      </c>
      <c r="F5" s="163" t="s">
        <v>591</v>
      </c>
      <c r="G5" s="165" t="s">
        <v>5</v>
      </c>
    </row>
    <row r="6" spans="2:7" ht="15" customHeight="1">
      <c r="B6" s="1151">
        <v>1</v>
      </c>
      <c r="C6" s="1148" t="s">
        <v>522</v>
      </c>
      <c r="D6" s="256" t="s">
        <v>640</v>
      </c>
      <c r="E6" s="176" t="s">
        <v>594</v>
      </c>
      <c r="F6" s="248"/>
      <c r="G6" s="248"/>
    </row>
    <row r="7" spans="2:7" ht="15" customHeight="1">
      <c r="B7" s="1152"/>
      <c r="C7" s="1149"/>
      <c r="D7" s="257" t="s">
        <v>641</v>
      </c>
      <c r="E7" s="176" t="s">
        <v>594</v>
      </c>
      <c r="F7" s="248" t="s">
        <v>595</v>
      </c>
      <c r="G7" s="258">
        <v>500000</v>
      </c>
    </row>
    <row r="8" spans="2:7" ht="15" customHeight="1">
      <c r="B8" s="1152"/>
      <c r="C8" s="1149"/>
      <c r="D8" s="257" t="s">
        <v>642</v>
      </c>
      <c r="E8" s="176" t="s">
        <v>594</v>
      </c>
      <c r="F8" s="248" t="s">
        <v>595</v>
      </c>
      <c r="G8" s="258">
        <v>500000</v>
      </c>
    </row>
    <row r="9" spans="2:7" ht="15" customHeight="1">
      <c r="B9" s="1152"/>
      <c r="C9" s="1149"/>
      <c r="D9" s="257" t="s">
        <v>597</v>
      </c>
      <c r="E9" s="176" t="s">
        <v>594</v>
      </c>
      <c r="F9" s="248" t="s">
        <v>595</v>
      </c>
      <c r="G9" s="258">
        <v>500000</v>
      </c>
    </row>
    <row r="10" spans="2:7" ht="15" customHeight="1" thickBot="1">
      <c r="B10" s="1153"/>
      <c r="C10" s="1167"/>
      <c r="D10" s="187"/>
      <c r="E10" s="187"/>
      <c r="F10" s="187"/>
      <c r="G10" s="217"/>
    </row>
    <row r="11" spans="2:7" ht="15" customHeight="1" thickBot="1">
      <c r="B11" s="193"/>
      <c r="C11" s="194"/>
      <c r="D11" s="195" t="s">
        <v>9</v>
      </c>
      <c r="E11" s="196"/>
      <c r="F11" s="196"/>
      <c r="G11" s="220">
        <f>SUM(G6:G10)</f>
        <v>1500000</v>
      </c>
    </row>
    <row r="12" spans="2:7" ht="15" customHeight="1">
      <c r="B12" s="1247">
        <v>2</v>
      </c>
      <c r="C12" s="1148" t="s">
        <v>0</v>
      </c>
      <c r="D12" s="256" t="s">
        <v>592</v>
      </c>
      <c r="E12" s="167"/>
      <c r="F12" s="163"/>
      <c r="G12" s="165"/>
    </row>
    <row r="13" spans="2:7" ht="15" customHeight="1">
      <c r="B13" s="1164"/>
      <c r="C13" s="1149"/>
      <c r="D13" s="257" t="s">
        <v>593</v>
      </c>
      <c r="E13" s="167" t="s">
        <v>594</v>
      </c>
      <c r="F13" s="202" t="s">
        <v>595</v>
      </c>
      <c r="G13" s="258">
        <v>1000000</v>
      </c>
    </row>
    <row r="14" spans="2:7" ht="15" customHeight="1">
      <c r="B14" s="1164"/>
      <c r="C14" s="1149"/>
      <c r="D14" s="257" t="s">
        <v>596</v>
      </c>
      <c r="E14" s="167" t="s">
        <v>594</v>
      </c>
      <c r="F14" s="202" t="s">
        <v>595</v>
      </c>
      <c r="G14" s="258">
        <v>1000000</v>
      </c>
    </row>
    <row r="15" spans="2:7" ht="15" customHeight="1">
      <c r="B15" s="1164"/>
      <c r="C15" s="1149"/>
      <c r="D15" s="257" t="s">
        <v>597</v>
      </c>
      <c r="E15" s="167" t="s">
        <v>594</v>
      </c>
      <c r="F15" s="202" t="s">
        <v>595</v>
      </c>
      <c r="G15" s="258">
        <v>500000</v>
      </c>
    </row>
    <row r="16" spans="2:7" ht="15" customHeight="1">
      <c r="B16" s="1164"/>
      <c r="C16" s="1149"/>
      <c r="D16" s="257" t="s">
        <v>598</v>
      </c>
      <c r="E16" s="167" t="s">
        <v>594</v>
      </c>
      <c r="F16" s="202" t="s">
        <v>595</v>
      </c>
      <c r="G16" s="258">
        <v>500000</v>
      </c>
    </row>
    <row r="17" spans="2:7" ht="15" customHeight="1">
      <c r="B17" s="1164"/>
      <c r="C17" s="1149"/>
      <c r="D17" s="257" t="s">
        <v>599</v>
      </c>
      <c r="E17" s="167" t="s">
        <v>594</v>
      </c>
      <c r="F17" s="202" t="s">
        <v>595</v>
      </c>
      <c r="G17" s="258">
        <v>500000</v>
      </c>
    </row>
    <row r="18" spans="2:7" ht="15" customHeight="1">
      <c r="B18" s="1164"/>
      <c r="C18" s="1149"/>
      <c r="D18" s="257" t="s">
        <v>600</v>
      </c>
      <c r="E18" s="167" t="s">
        <v>594</v>
      </c>
      <c r="F18" s="202" t="s">
        <v>595</v>
      </c>
      <c r="G18" s="258">
        <v>2500000</v>
      </c>
    </row>
    <row r="19" spans="2:7" ht="15" customHeight="1">
      <c r="B19" s="1164"/>
      <c r="C19" s="1149"/>
      <c r="D19" s="257" t="s">
        <v>601</v>
      </c>
      <c r="E19" s="167" t="s">
        <v>594</v>
      </c>
      <c r="F19" s="202" t="s">
        <v>595</v>
      </c>
      <c r="G19" s="258">
        <v>500000</v>
      </c>
    </row>
    <row r="20" spans="2:7" ht="15" customHeight="1">
      <c r="B20" s="1164"/>
      <c r="C20" s="1149"/>
      <c r="D20" s="257" t="s">
        <v>602</v>
      </c>
      <c r="E20" s="167" t="s">
        <v>594</v>
      </c>
      <c r="F20" s="202" t="s">
        <v>595</v>
      </c>
      <c r="G20" s="258">
        <v>1000000</v>
      </c>
    </row>
    <row r="21" spans="2:7" ht="15" customHeight="1">
      <c r="B21" s="1164"/>
      <c r="C21" s="1149"/>
      <c r="D21" s="256" t="s">
        <v>603</v>
      </c>
      <c r="E21" s="167" t="s">
        <v>594</v>
      </c>
      <c r="F21" s="202" t="s">
        <v>595</v>
      </c>
      <c r="G21" s="212"/>
    </row>
    <row r="22" spans="2:7" ht="15" customHeight="1">
      <c r="B22" s="1164"/>
      <c r="C22" s="1149"/>
      <c r="D22" s="257" t="s">
        <v>604</v>
      </c>
      <c r="E22" s="167" t="s">
        <v>594</v>
      </c>
      <c r="F22" s="202" t="s">
        <v>595</v>
      </c>
      <c r="G22" s="258">
        <v>500000</v>
      </c>
    </row>
    <row r="23" spans="2:9" ht="15" customHeight="1">
      <c r="B23" s="1164"/>
      <c r="C23" s="1149"/>
      <c r="D23" s="257" t="s">
        <v>605</v>
      </c>
      <c r="E23" s="167" t="s">
        <v>594</v>
      </c>
      <c r="F23" s="202" t="s">
        <v>595</v>
      </c>
      <c r="G23" s="258">
        <v>500000</v>
      </c>
      <c r="I23" s="247"/>
    </row>
    <row r="24" spans="2:7" ht="15" customHeight="1">
      <c r="B24" s="1164"/>
      <c r="C24" s="1149"/>
      <c r="D24" s="257" t="s">
        <v>599</v>
      </c>
      <c r="E24" s="167" t="s">
        <v>594</v>
      </c>
      <c r="F24" s="202" t="s">
        <v>595</v>
      </c>
      <c r="G24" s="258">
        <v>500000</v>
      </c>
    </row>
    <row r="25" spans="2:7" ht="15" customHeight="1">
      <c r="B25" s="1164"/>
      <c r="C25" s="1149"/>
      <c r="D25" s="257" t="s">
        <v>606</v>
      </c>
      <c r="E25" s="167" t="s">
        <v>594</v>
      </c>
      <c r="F25" s="202" t="s">
        <v>595</v>
      </c>
      <c r="G25" s="258">
        <v>500000</v>
      </c>
    </row>
    <row r="26" spans="2:7" ht="15" customHeight="1">
      <c r="B26" s="1164"/>
      <c r="C26" s="1149"/>
      <c r="D26" s="259" t="s">
        <v>607</v>
      </c>
      <c r="E26" s="167" t="s">
        <v>594</v>
      </c>
      <c r="F26" s="173" t="s">
        <v>608</v>
      </c>
      <c r="G26" s="258">
        <v>300000</v>
      </c>
    </row>
    <row r="27" spans="2:7" ht="15" customHeight="1">
      <c r="B27" s="1164"/>
      <c r="C27" s="1149"/>
      <c r="D27" s="256" t="s">
        <v>609</v>
      </c>
      <c r="E27" s="167" t="s">
        <v>594</v>
      </c>
      <c r="F27" s="173" t="s">
        <v>610</v>
      </c>
      <c r="G27" s="258"/>
    </row>
    <row r="28" spans="2:7" ht="15" customHeight="1">
      <c r="B28" s="1164"/>
      <c r="C28" s="1149"/>
      <c r="D28" s="257" t="s">
        <v>593</v>
      </c>
      <c r="E28" s="167" t="s">
        <v>594</v>
      </c>
      <c r="F28" s="173" t="s">
        <v>610</v>
      </c>
      <c r="G28" s="258">
        <v>500000</v>
      </c>
    </row>
    <row r="29" spans="2:7" ht="15" customHeight="1">
      <c r="B29" s="1164"/>
      <c r="C29" s="1149"/>
      <c r="D29" s="257" t="s">
        <v>611</v>
      </c>
      <c r="E29" s="167" t="s">
        <v>594</v>
      </c>
      <c r="F29" s="173" t="s">
        <v>610</v>
      </c>
      <c r="G29" s="258">
        <v>500000</v>
      </c>
    </row>
    <row r="30" spans="2:7" ht="15" customHeight="1">
      <c r="B30" s="1164"/>
      <c r="C30" s="1149"/>
      <c r="D30" s="257" t="s">
        <v>598</v>
      </c>
      <c r="E30" s="167" t="s">
        <v>594</v>
      </c>
      <c r="F30" s="173" t="s">
        <v>610</v>
      </c>
      <c r="G30" s="258">
        <v>500000</v>
      </c>
    </row>
    <row r="31" spans="2:7" ht="15" customHeight="1">
      <c r="B31" s="1164"/>
      <c r="C31" s="1149"/>
      <c r="D31" s="257" t="s">
        <v>599</v>
      </c>
      <c r="E31" s="167" t="s">
        <v>594</v>
      </c>
      <c r="F31" s="173" t="s">
        <v>610</v>
      </c>
      <c r="G31" s="258">
        <v>500000</v>
      </c>
    </row>
    <row r="32" spans="2:7" ht="15" customHeight="1">
      <c r="B32" s="1164"/>
      <c r="C32" s="1149"/>
      <c r="D32" s="257" t="s">
        <v>612</v>
      </c>
      <c r="E32" s="167" t="s">
        <v>594</v>
      </c>
      <c r="F32" s="173" t="s">
        <v>610</v>
      </c>
      <c r="G32" s="258">
        <v>500000</v>
      </c>
    </row>
    <row r="33" spans="2:7" ht="15" customHeight="1">
      <c r="B33" s="1164"/>
      <c r="C33" s="1149"/>
      <c r="D33" s="259" t="s">
        <v>613</v>
      </c>
      <c r="E33" s="167" t="s">
        <v>594</v>
      </c>
      <c r="F33" s="173" t="s">
        <v>614</v>
      </c>
      <c r="G33" s="258"/>
    </row>
    <row r="34" spans="2:7" ht="15" customHeight="1">
      <c r="B34" s="1164"/>
      <c r="C34" s="1149"/>
      <c r="D34" s="257" t="s">
        <v>604</v>
      </c>
      <c r="E34" s="167" t="s">
        <v>594</v>
      </c>
      <c r="F34" s="173" t="s">
        <v>614</v>
      </c>
      <c r="G34" s="258">
        <v>1000000</v>
      </c>
    </row>
    <row r="35" spans="2:7" ht="15" customHeight="1">
      <c r="B35" s="1164"/>
      <c r="C35" s="1149"/>
      <c r="D35" s="257" t="s">
        <v>615</v>
      </c>
      <c r="E35" s="167" t="s">
        <v>594</v>
      </c>
      <c r="F35" s="173" t="s">
        <v>614</v>
      </c>
      <c r="G35" s="258">
        <v>500000</v>
      </c>
    </row>
    <row r="36" spans="2:7" ht="15" customHeight="1">
      <c r="B36" s="1164"/>
      <c r="C36" s="1149"/>
      <c r="D36" s="259" t="s">
        <v>616</v>
      </c>
      <c r="E36" s="167" t="s">
        <v>594</v>
      </c>
      <c r="F36" s="173" t="s">
        <v>614</v>
      </c>
      <c r="G36" s="258"/>
    </row>
    <row r="37" spans="2:7" ht="15" customHeight="1">
      <c r="B37" s="1164"/>
      <c r="C37" s="1149"/>
      <c r="D37" s="257" t="s">
        <v>604</v>
      </c>
      <c r="E37" s="167" t="s">
        <v>594</v>
      </c>
      <c r="F37" s="173" t="s">
        <v>614</v>
      </c>
      <c r="G37" s="258">
        <v>500000</v>
      </c>
    </row>
    <row r="38" spans="2:7" ht="15" customHeight="1">
      <c r="B38" s="1164"/>
      <c r="C38" s="1149"/>
      <c r="D38" s="257" t="s">
        <v>598</v>
      </c>
      <c r="E38" s="167" t="s">
        <v>594</v>
      </c>
      <c r="F38" s="173" t="s">
        <v>614</v>
      </c>
      <c r="G38" s="258">
        <v>500000</v>
      </c>
    </row>
    <row r="39" spans="2:7" ht="15" customHeight="1">
      <c r="B39" s="1164"/>
      <c r="C39" s="1149"/>
      <c r="D39" s="257" t="s">
        <v>597</v>
      </c>
      <c r="E39" s="167" t="s">
        <v>594</v>
      </c>
      <c r="F39" s="173" t="s">
        <v>614</v>
      </c>
      <c r="G39" s="258">
        <v>500000</v>
      </c>
    </row>
    <row r="40" spans="2:11" ht="15" customHeight="1" thickBot="1">
      <c r="B40" s="1165"/>
      <c r="C40" s="1167"/>
      <c r="D40" s="259" t="s">
        <v>617</v>
      </c>
      <c r="E40" s="167" t="s">
        <v>594</v>
      </c>
      <c r="F40" s="173" t="s">
        <v>614</v>
      </c>
      <c r="G40" s="213">
        <v>7300000</v>
      </c>
      <c r="K40" s="235"/>
    </row>
    <row r="41" spans="2:7" ht="15" customHeight="1" thickBot="1">
      <c r="B41" s="185"/>
      <c r="C41" s="178"/>
      <c r="D41" s="179" t="s">
        <v>9</v>
      </c>
      <c r="E41" s="180"/>
      <c r="F41" s="180"/>
      <c r="G41" s="214">
        <f>SUM(G12:G40)</f>
        <v>22600000</v>
      </c>
    </row>
    <row r="42" spans="2:7" ht="15" customHeight="1">
      <c r="B42" s="1154">
        <v>3</v>
      </c>
      <c r="C42" s="1156" t="s">
        <v>848</v>
      </c>
      <c r="D42" s="176"/>
      <c r="E42" s="176"/>
      <c r="F42" s="176"/>
      <c r="G42" s="248"/>
    </row>
    <row r="43" spans="2:7" ht="15" customHeight="1">
      <c r="B43" s="1152"/>
      <c r="C43" s="1149"/>
      <c r="D43" s="259" t="s">
        <v>646</v>
      </c>
      <c r="E43" s="176" t="s">
        <v>594</v>
      </c>
      <c r="F43" s="176"/>
      <c r="G43" s="248"/>
    </row>
    <row r="44" spans="2:7" ht="15" customHeight="1">
      <c r="B44" s="1152"/>
      <c r="C44" s="1149"/>
      <c r="D44" s="257" t="s">
        <v>599</v>
      </c>
      <c r="E44" s="176" t="s">
        <v>594</v>
      </c>
      <c r="F44" s="176" t="s">
        <v>608</v>
      </c>
      <c r="G44" s="258">
        <v>1000000</v>
      </c>
    </row>
    <row r="45" spans="2:7" ht="15" customHeight="1" thickBot="1">
      <c r="B45" s="1152"/>
      <c r="C45" s="1167"/>
      <c r="D45" s="257" t="s">
        <v>611</v>
      </c>
      <c r="E45" s="176" t="s">
        <v>594</v>
      </c>
      <c r="F45" s="176" t="s">
        <v>608</v>
      </c>
      <c r="G45" s="258">
        <v>500000</v>
      </c>
    </row>
    <row r="46" spans="2:7" ht="15" customHeight="1" thickBot="1">
      <c r="B46" s="178"/>
      <c r="C46" s="178"/>
      <c r="D46" s="195" t="s">
        <v>9</v>
      </c>
      <c r="E46" s="196"/>
      <c r="F46" s="196"/>
      <c r="G46" s="220">
        <f>SUM(G42:G45)</f>
        <v>1500000</v>
      </c>
    </row>
    <row r="47" spans="2:7" ht="15" customHeight="1">
      <c r="B47" s="1154">
        <v>4</v>
      </c>
      <c r="C47" s="1156" t="s">
        <v>327</v>
      </c>
      <c r="D47" s="176"/>
      <c r="E47" s="176"/>
      <c r="F47" s="176"/>
      <c r="G47" s="248"/>
    </row>
    <row r="48" spans="2:7" ht="15" customHeight="1">
      <c r="B48" s="1152"/>
      <c r="C48" s="1149"/>
      <c r="D48" s="256" t="s">
        <v>649</v>
      </c>
      <c r="E48" s="176" t="s">
        <v>594</v>
      </c>
      <c r="F48" s="176" t="s">
        <v>608</v>
      </c>
      <c r="G48" s="248"/>
    </row>
    <row r="49" spans="2:7" ht="15" customHeight="1">
      <c r="B49" s="1152"/>
      <c r="C49" s="1149"/>
      <c r="D49" s="257" t="s">
        <v>599</v>
      </c>
      <c r="E49" s="176" t="s">
        <v>594</v>
      </c>
      <c r="F49" s="176" t="s">
        <v>608</v>
      </c>
      <c r="G49" s="258">
        <v>1000000</v>
      </c>
    </row>
    <row r="50" spans="2:7" ht="15" customHeight="1" thickBot="1">
      <c r="B50" s="1152"/>
      <c r="C50" s="1149"/>
      <c r="D50" s="257" t="s">
        <v>611</v>
      </c>
      <c r="E50" s="176" t="s">
        <v>594</v>
      </c>
      <c r="F50" s="176" t="s">
        <v>608</v>
      </c>
      <c r="G50" s="258">
        <v>500000</v>
      </c>
    </row>
    <row r="51" spans="2:7" ht="15" customHeight="1" thickBot="1">
      <c r="B51" s="262"/>
      <c r="C51" s="262"/>
      <c r="D51" s="195" t="s">
        <v>9</v>
      </c>
      <c r="E51" s="196"/>
      <c r="F51" s="196"/>
      <c r="G51" s="220">
        <f>SUM(G47:G50)</f>
        <v>1500000</v>
      </c>
    </row>
    <row r="52" spans="2:7" ht="15" customHeight="1">
      <c r="B52" s="1204">
        <v>5</v>
      </c>
      <c r="C52" s="1156" t="s">
        <v>508</v>
      </c>
      <c r="D52" s="256" t="s">
        <v>618</v>
      </c>
      <c r="E52" s="200" t="s">
        <v>594</v>
      </c>
      <c r="F52" s="200"/>
      <c r="G52" s="215"/>
    </row>
    <row r="53" spans="2:7" ht="15" customHeight="1">
      <c r="B53" s="1164"/>
      <c r="C53" s="1149"/>
      <c r="D53" s="257" t="s">
        <v>619</v>
      </c>
      <c r="E53" s="200" t="s">
        <v>594</v>
      </c>
      <c r="F53" s="200" t="s">
        <v>608</v>
      </c>
      <c r="G53" s="258">
        <v>200000</v>
      </c>
    </row>
    <row r="54" spans="2:7" ht="15" customHeight="1">
      <c r="B54" s="1164"/>
      <c r="C54" s="1149"/>
      <c r="D54" s="257" t="s">
        <v>620</v>
      </c>
      <c r="E54" s="200" t="s">
        <v>594</v>
      </c>
      <c r="F54" s="200" t="s">
        <v>608</v>
      </c>
      <c r="G54" s="258">
        <v>2806621</v>
      </c>
    </row>
    <row r="55" spans="2:7" ht="15" customHeight="1">
      <c r="B55" s="1164"/>
      <c r="C55" s="1149"/>
      <c r="D55" s="256" t="s">
        <v>621</v>
      </c>
      <c r="E55" s="200" t="s">
        <v>594</v>
      </c>
      <c r="F55" s="200"/>
      <c r="G55" s="215"/>
    </row>
    <row r="56" spans="2:7" ht="15" customHeight="1">
      <c r="B56" s="1164"/>
      <c r="C56" s="1149"/>
      <c r="D56" s="257" t="s">
        <v>622</v>
      </c>
      <c r="E56" s="200" t="s">
        <v>594</v>
      </c>
      <c r="F56" s="200" t="s">
        <v>610</v>
      </c>
      <c r="G56" s="258">
        <v>1000000</v>
      </c>
    </row>
    <row r="57" spans="2:7" ht="15" customHeight="1">
      <c r="B57" s="1164"/>
      <c r="C57" s="1149"/>
      <c r="D57" s="257" t="s">
        <v>623</v>
      </c>
      <c r="E57" s="200" t="s">
        <v>594</v>
      </c>
      <c r="F57" s="200" t="s">
        <v>610</v>
      </c>
      <c r="G57" s="258">
        <v>2000000</v>
      </c>
    </row>
    <row r="58" spans="2:7" ht="15" customHeight="1">
      <c r="B58" s="1164"/>
      <c r="C58" s="1149"/>
      <c r="D58" s="257" t="s">
        <v>624</v>
      </c>
      <c r="E58" s="200" t="s">
        <v>594</v>
      </c>
      <c r="F58" s="200" t="s">
        <v>610</v>
      </c>
      <c r="G58" s="258">
        <v>2000000</v>
      </c>
    </row>
    <row r="59" spans="2:7" ht="15" customHeight="1">
      <c r="B59" s="1164"/>
      <c r="C59" s="1149"/>
      <c r="D59" s="256" t="s">
        <v>625</v>
      </c>
      <c r="E59" s="200" t="s">
        <v>594</v>
      </c>
      <c r="F59" s="200"/>
      <c r="G59" s="215"/>
    </row>
    <row r="60" spans="2:7" ht="15" customHeight="1">
      <c r="B60" s="1164"/>
      <c r="C60" s="1149"/>
      <c r="D60" s="257" t="s">
        <v>626</v>
      </c>
      <c r="E60" s="200" t="s">
        <v>594</v>
      </c>
      <c r="F60" s="200" t="s">
        <v>627</v>
      </c>
      <c r="G60" s="258">
        <v>1000000</v>
      </c>
    </row>
    <row r="61" spans="2:7" ht="15" customHeight="1">
      <c r="B61" s="1164"/>
      <c r="C61" s="1149"/>
      <c r="D61" s="257" t="s">
        <v>628</v>
      </c>
      <c r="E61" s="200" t="s">
        <v>594</v>
      </c>
      <c r="F61" s="200" t="s">
        <v>627</v>
      </c>
      <c r="G61" s="258">
        <v>6000000</v>
      </c>
    </row>
    <row r="62" spans="2:7" ht="15" customHeight="1">
      <c r="B62" s="1164"/>
      <c r="C62" s="1149"/>
      <c r="D62" s="256" t="s">
        <v>629</v>
      </c>
      <c r="E62" s="200" t="s">
        <v>594</v>
      </c>
      <c r="F62" s="200"/>
      <c r="G62" s="215"/>
    </row>
    <row r="63" spans="2:7" ht="15" customHeight="1">
      <c r="B63" s="1164"/>
      <c r="C63" s="1149"/>
      <c r="D63" s="259" t="s">
        <v>630</v>
      </c>
      <c r="E63" s="200" t="s">
        <v>594</v>
      </c>
      <c r="F63" s="200" t="s">
        <v>614</v>
      </c>
      <c r="G63" s="258">
        <v>1000000</v>
      </c>
    </row>
    <row r="64" spans="2:7" ht="15" customHeight="1">
      <c r="B64" s="1164"/>
      <c r="C64" s="1149"/>
      <c r="D64" s="259" t="s">
        <v>631</v>
      </c>
      <c r="E64" s="200" t="s">
        <v>594</v>
      </c>
      <c r="F64" s="200" t="s">
        <v>614</v>
      </c>
      <c r="G64" s="258">
        <v>2000000</v>
      </c>
    </row>
    <row r="65" spans="2:7" ht="15" customHeight="1">
      <c r="B65" s="1164"/>
      <c r="C65" s="1149"/>
      <c r="D65" s="259" t="s">
        <v>632</v>
      </c>
      <c r="E65" s="200" t="s">
        <v>594</v>
      </c>
      <c r="F65" s="200" t="s">
        <v>627</v>
      </c>
      <c r="G65" s="258">
        <v>500000</v>
      </c>
    </row>
    <row r="66" spans="2:7" ht="15" customHeight="1">
      <c r="B66" s="1164"/>
      <c r="C66" s="1149"/>
      <c r="D66" s="259" t="s">
        <v>633</v>
      </c>
      <c r="E66" s="200" t="s">
        <v>594</v>
      </c>
      <c r="F66" s="200" t="s">
        <v>634</v>
      </c>
      <c r="G66" s="258">
        <v>2500000</v>
      </c>
    </row>
    <row r="67" spans="2:7" ht="15" customHeight="1">
      <c r="B67" s="1164"/>
      <c r="C67" s="1149"/>
      <c r="D67" s="259" t="s">
        <v>635</v>
      </c>
      <c r="E67" s="200" t="s">
        <v>594</v>
      </c>
      <c r="F67" s="200" t="s">
        <v>636</v>
      </c>
      <c r="G67" s="258">
        <v>500000</v>
      </c>
    </row>
    <row r="68" spans="2:7" ht="15" customHeight="1">
      <c r="B68" s="1164"/>
      <c r="C68" s="1149"/>
      <c r="D68" s="259" t="s">
        <v>637</v>
      </c>
      <c r="E68" s="200" t="s">
        <v>594</v>
      </c>
      <c r="F68" s="200" t="s">
        <v>614</v>
      </c>
      <c r="G68" s="258">
        <v>500000</v>
      </c>
    </row>
    <row r="69" spans="2:7" ht="15" customHeight="1">
      <c r="B69" s="1164"/>
      <c r="C69" s="1149"/>
      <c r="D69" s="259" t="s">
        <v>638</v>
      </c>
      <c r="E69" s="200" t="s">
        <v>594</v>
      </c>
      <c r="F69" s="200" t="s">
        <v>639</v>
      </c>
      <c r="G69" s="258">
        <v>12000000</v>
      </c>
    </row>
    <row r="70" spans="2:11" ht="15" customHeight="1" thickBot="1">
      <c r="B70" s="1165"/>
      <c r="C70" s="1167"/>
      <c r="D70" s="260"/>
      <c r="E70" s="260"/>
      <c r="F70" s="260"/>
      <c r="G70" s="261"/>
      <c r="K70" s="235"/>
    </row>
    <row r="71" spans="2:7" ht="15" customHeight="1" thickBot="1">
      <c r="B71" s="183"/>
      <c r="C71" s="178"/>
      <c r="D71" s="179" t="s">
        <v>9</v>
      </c>
      <c r="E71" s="249"/>
      <c r="F71" s="180"/>
      <c r="G71" s="218">
        <f>SUM(G52:G70)</f>
        <v>34006621</v>
      </c>
    </row>
    <row r="72" spans="2:7" ht="15" customHeight="1">
      <c r="B72" s="1154">
        <v>4</v>
      </c>
      <c r="C72" s="1156" t="s">
        <v>643</v>
      </c>
      <c r="D72" s="256" t="s">
        <v>644</v>
      </c>
      <c r="E72" s="176" t="s">
        <v>594</v>
      </c>
      <c r="F72" s="176"/>
      <c r="G72" s="248"/>
    </row>
    <row r="73" spans="2:7" ht="15" customHeight="1">
      <c r="B73" s="1152"/>
      <c r="C73" s="1149"/>
      <c r="D73" s="257" t="s">
        <v>597</v>
      </c>
      <c r="E73" s="176" t="s">
        <v>594</v>
      </c>
      <c r="F73" s="176" t="s">
        <v>608</v>
      </c>
      <c r="G73" s="258">
        <v>500000</v>
      </c>
    </row>
    <row r="74" spans="2:7" ht="15" customHeight="1">
      <c r="B74" s="1152"/>
      <c r="C74" s="1149"/>
      <c r="D74" s="257" t="s">
        <v>645</v>
      </c>
      <c r="E74" s="176" t="s">
        <v>594</v>
      </c>
      <c r="F74" s="176" t="s">
        <v>608</v>
      </c>
      <c r="G74" s="258">
        <v>500000</v>
      </c>
    </row>
    <row r="75" spans="2:10" ht="15" customHeight="1">
      <c r="B75" s="1152"/>
      <c r="C75" s="1149"/>
      <c r="D75" s="176"/>
      <c r="E75" s="176"/>
      <c r="F75" s="176"/>
      <c r="G75" s="248"/>
      <c r="J75" s="250"/>
    </row>
    <row r="76" spans="2:7" ht="15" customHeight="1" thickBot="1">
      <c r="B76" s="1152"/>
      <c r="C76" s="1167"/>
      <c r="D76" s="176"/>
      <c r="E76" s="176"/>
      <c r="F76" s="176"/>
      <c r="G76" s="248"/>
    </row>
    <row r="77" spans="2:7" ht="15" customHeight="1" thickBot="1">
      <c r="B77" s="193"/>
      <c r="C77" s="194"/>
      <c r="D77" s="195" t="s">
        <v>9</v>
      </c>
      <c r="E77" s="196"/>
      <c r="F77" s="196"/>
      <c r="G77" s="220">
        <f>SUM(G72:G76)</f>
        <v>1000000</v>
      </c>
    </row>
    <row r="78" spans="2:7" ht="15" customHeight="1">
      <c r="B78" s="1154">
        <v>6</v>
      </c>
      <c r="C78" s="1156" t="s">
        <v>647</v>
      </c>
      <c r="D78" s="176"/>
      <c r="E78" s="176"/>
      <c r="F78" s="176"/>
      <c r="G78" s="248"/>
    </row>
    <row r="79" spans="2:7" ht="15" customHeight="1">
      <c r="B79" s="1152"/>
      <c r="C79" s="1149"/>
      <c r="D79" s="256" t="s">
        <v>648</v>
      </c>
      <c r="E79" s="176" t="s">
        <v>594</v>
      </c>
      <c r="F79" s="176"/>
      <c r="G79" s="248"/>
    </row>
    <row r="80" spans="2:7" ht="15" customHeight="1">
      <c r="B80" s="1152"/>
      <c r="C80" s="1149"/>
      <c r="D80" s="257" t="s">
        <v>599</v>
      </c>
      <c r="E80" s="176" t="s">
        <v>594</v>
      </c>
      <c r="F80" s="176" t="s">
        <v>608</v>
      </c>
      <c r="G80" s="258">
        <v>1000000</v>
      </c>
    </row>
    <row r="81" spans="2:10" ht="15" customHeight="1">
      <c r="B81" s="1152"/>
      <c r="C81" s="1149"/>
      <c r="D81" s="257" t="s">
        <v>641</v>
      </c>
      <c r="E81" s="176" t="s">
        <v>594</v>
      </c>
      <c r="F81" s="176" t="s">
        <v>608</v>
      </c>
      <c r="G81" s="258">
        <v>500000</v>
      </c>
      <c r="J81" s="250"/>
    </row>
    <row r="82" spans="2:7" ht="15" customHeight="1" thickBot="1">
      <c r="B82" s="1152"/>
      <c r="C82" s="1149"/>
      <c r="D82" s="176"/>
      <c r="E82" s="176"/>
      <c r="F82" s="176"/>
      <c r="G82" s="248"/>
    </row>
    <row r="83" spans="2:7" ht="15" customHeight="1" thickBot="1">
      <c r="B83" s="193"/>
      <c r="C83" s="194"/>
      <c r="D83" s="195" t="s">
        <v>9</v>
      </c>
      <c r="E83" s="196"/>
      <c r="F83" s="196"/>
      <c r="G83" s="220">
        <f>SUM(G78:G82)</f>
        <v>1500000</v>
      </c>
    </row>
    <row r="84" spans="2:7" ht="15" customHeight="1" thickBot="1">
      <c r="B84" s="190"/>
      <c r="C84" s="222"/>
      <c r="D84" s="231"/>
      <c r="E84" s="232"/>
      <c r="F84" s="232"/>
      <c r="G84" s="263"/>
    </row>
    <row r="85" spans="2:7" ht="15" customHeight="1" thickBot="1">
      <c r="B85" s="193"/>
      <c r="C85" s="194"/>
      <c r="D85" s="195" t="s">
        <v>650</v>
      </c>
      <c r="E85" s="196"/>
      <c r="F85" s="196"/>
      <c r="G85" s="220">
        <f>SUM(G51,G83,G46,G77,G11,G71,G41)</f>
        <v>63606621</v>
      </c>
    </row>
    <row r="86" ht="15" customHeight="1">
      <c r="G86" s="251"/>
    </row>
  </sheetData>
  <sheetProtection/>
  <mergeCells count="17">
    <mergeCell ref="B1:H1"/>
    <mergeCell ref="B2:H2"/>
    <mergeCell ref="C3:H3"/>
    <mergeCell ref="B12:B40"/>
    <mergeCell ref="C12:C40"/>
    <mergeCell ref="B52:B70"/>
    <mergeCell ref="C52:C70"/>
    <mergeCell ref="B78:B82"/>
    <mergeCell ref="C78:C82"/>
    <mergeCell ref="B47:B50"/>
    <mergeCell ref="C42:C45"/>
    <mergeCell ref="C47:C50"/>
    <mergeCell ref="B6:B10"/>
    <mergeCell ref="C6:C10"/>
    <mergeCell ref="B72:B76"/>
    <mergeCell ref="C72:C76"/>
    <mergeCell ref="B42:B4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3">
      <selection activeCell="D19" sqref="D19:G20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37.421875" style="273" customWidth="1"/>
    <col min="4" max="4" width="62.421875" style="273" customWidth="1"/>
    <col min="5" max="5" width="16.00390625" style="273" customWidth="1"/>
    <col min="6" max="6" width="22.57421875" style="273" customWidth="1"/>
    <col min="7" max="7" width="17.28125" style="273" bestFit="1" customWidth="1"/>
    <col min="8" max="16384" width="9.140625" style="273" customWidth="1"/>
  </cols>
  <sheetData>
    <row r="1" spans="2:8" ht="15" customHeight="1">
      <c r="B1" s="1209" t="s">
        <v>334</v>
      </c>
      <c r="C1" s="1209"/>
      <c r="D1" s="1209"/>
      <c r="E1" s="1209"/>
      <c r="F1" s="1209"/>
      <c r="G1" s="1209"/>
      <c r="H1" s="1209"/>
    </row>
    <row r="2" spans="2:8" ht="15" customHeight="1">
      <c r="B2" s="1210" t="s">
        <v>651</v>
      </c>
      <c r="C2" s="1210"/>
      <c r="D2" s="1210"/>
      <c r="E2" s="1210"/>
      <c r="F2" s="1210"/>
      <c r="G2" s="1210"/>
      <c r="H2" s="1210"/>
    </row>
    <row r="3" spans="2:8" ht="15" customHeight="1">
      <c r="B3" s="274"/>
      <c r="C3" s="1211" t="s">
        <v>652</v>
      </c>
      <c r="D3" s="1211"/>
      <c r="E3" s="1211"/>
      <c r="F3" s="1211"/>
      <c r="G3" s="1211"/>
      <c r="H3" s="1211"/>
    </row>
    <row r="5" spans="2:7" ht="15" customHeight="1">
      <c r="B5" s="423" t="s">
        <v>4</v>
      </c>
      <c r="C5" s="420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48">
        <v>1</v>
      </c>
      <c r="C6" s="424" t="s">
        <v>28</v>
      </c>
      <c r="D6" s="295" t="s">
        <v>664</v>
      </c>
      <c r="E6" s="295" t="s">
        <v>654</v>
      </c>
      <c r="F6" s="295" t="s">
        <v>665</v>
      </c>
      <c r="G6" s="303">
        <v>6000000</v>
      </c>
    </row>
    <row r="7" spans="2:7" ht="15" customHeight="1" thickBot="1">
      <c r="B7" s="1249"/>
      <c r="C7" s="420"/>
      <c r="D7" s="277"/>
      <c r="E7" s="277"/>
      <c r="F7" s="276"/>
      <c r="G7" s="278"/>
    </row>
    <row r="8" spans="2:7" ht="15" customHeight="1" thickBot="1">
      <c r="B8" s="284"/>
      <c r="C8" s="285"/>
      <c r="D8" s="298" t="s">
        <v>9</v>
      </c>
      <c r="E8" s="287"/>
      <c r="F8" s="287"/>
      <c r="G8" s="288">
        <f>SUM(G6:G7)</f>
        <v>6000000</v>
      </c>
    </row>
    <row r="9" spans="2:7" ht="15" customHeight="1">
      <c r="B9" s="1217">
        <v>2</v>
      </c>
      <c r="C9" s="1216" t="s">
        <v>30</v>
      </c>
      <c r="D9" s="295" t="s">
        <v>653</v>
      </c>
      <c r="E9" s="295" t="s">
        <v>654</v>
      </c>
      <c r="F9" s="295" t="s">
        <v>655</v>
      </c>
      <c r="G9" s="303">
        <v>7500000</v>
      </c>
    </row>
    <row r="10" spans="2:7" ht="15" customHeight="1">
      <c r="B10" s="1208"/>
      <c r="C10" s="1206"/>
      <c r="D10" s="295" t="s">
        <v>656</v>
      </c>
      <c r="E10" s="295" t="s">
        <v>654</v>
      </c>
      <c r="F10" s="295" t="s">
        <v>654</v>
      </c>
      <c r="G10" s="303">
        <v>7000000</v>
      </c>
    </row>
    <row r="11" spans="2:7" ht="15" customHeight="1" thickBot="1">
      <c r="B11" s="1208"/>
      <c r="C11" s="1206"/>
      <c r="D11" s="295" t="s">
        <v>657</v>
      </c>
      <c r="E11" s="295" t="s">
        <v>654</v>
      </c>
      <c r="F11" s="295" t="s">
        <v>658</v>
      </c>
      <c r="G11" s="303">
        <v>2000000</v>
      </c>
    </row>
    <row r="12" spans="2:7" ht="15" customHeight="1" thickBot="1">
      <c r="B12" s="290"/>
      <c r="C12" s="291"/>
      <c r="D12" s="292" t="s">
        <v>9</v>
      </c>
      <c r="E12" s="293"/>
      <c r="F12" s="293"/>
      <c r="G12" s="294">
        <f>SUM(G9:G11)</f>
        <v>16500000</v>
      </c>
    </row>
    <row r="13" spans="2:7" ht="15" customHeight="1">
      <c r="B13" s="1212">
        <v>3</v>
      </c>
      <c r="C13" s="1205" t="s">
        <v>490</v>
      </c>
      <c r="D13" s="295" t="s">
        <v>666</v>
      </c>
      <c r="E13" s="295" t="s">
        <v>654</v>
      </c>
      <c r="F13" s="295" t="s">
        <v>654</v>
      </c>
      <c r="G13" s="303">
        <v>1500000</v>
      </c>
    </row>
    <row r="14" spans="2:7" ht="15" customHeight="1" thickBot="1">
      <c r="B14" s="1242"/>
      <c r="C14" s="1215"/>
      <c r="D14" s="345"/>
      <c r="E14" s="345"/>
      <c r="F14" s="345"/>
      <c r="G14" s="425"/>
    </row>
    <row r="15" spans="2:7" ht="15" customHeight="1" thickBot="1">
      <c r="B15" s="284"/>
      <c r="C15" s="285"/>
      <c r="D15" s="298" t="s">
        <v>9</v>
      </c>
      <c r="E15" s="287"/>
      <c r="F15" s="287"/>
      <c r="G15" s="288">
        <f>SUM(G13:G13)</f>
        <v>1500000</v>
      </c>
    </row>
    <row r="16" spans="2:7" ht="15" customHeight="1">
      <c r="B16" s="1207">
        <v>4</v>
      </c>
      <c r="C16" s="1205" t="s">
        <v>659</v>
      </c>
      <c r="D16" s="295" t="s">
        <v>660</v>
      </c>
      <c r="E16" s="295" t="s">
        <v>654</v>
      </c>
      <c r="F16" s="295" t="s">
        <v>661</v>
      </c>
      <c r="G16" s="303">
        <v>10000000</v>
      </c>
    </row>
    <row r="17" spans="2:7" ht="15" customHeight="1" thickBot="1">
      <c r="B17" s="1208"/>
      <c r="C17" s="1215"/>
      <c r="D17" s="295" t="s">
        <v>662</v>
      </c>
      <c r="E17" s="295" t="s">
        <v>654</v>
      </c>
      <c r="F17" s="295" t="s">
        <v>663</v>
      </c>
      <c r="G17" s="303">
        <v>8000000</v>
      </c>
    </row>
    <row r="18" spans="2:7" ht="15" customHeight="1" thickBot="1">
      <c r="B18" s="290"/>
      <c r="C18" s="293"/>
      <c r="D18" s="292" t="s">
        <v>9</v>
      </c>
      <c r="E18" s="293"/>
      <c r="F18" s="293"/>
      <c r="G18" s="300">
        <f>SUM(G16:G17)</f>
        <v>18000000</v>
      </c>
    </row>
    <row r="19" spans="2:7" ht="15" customHeight="1">
      <c r="B19" s="1207">
        <v>5</v>
      </c>
      <c r="C19" s="1205" t="s">
        <v>667</v>
      </c>
      <c r="D19" s="295" t="s">
        <v>668</v>
      </c>
      <c r="E19" s="295" t="s">
        <v>654</v>
      </c>
      <c r="F19" s="295" t="s">
        <v>654</v>
      </c>
      <c r="G19" s="303">
        <v>2500000</v>
      </c>
    </row>
    <row r="20" spans="2:7" ht="15" customHeight="1" thickBot="1">
      <c r="B20" s="1208"/>
      <c r="C20" s="1215"/>
      <c r="D20" s="295" t="s">
        <v>669</v>
      </c>
      <c r="E20" s="295" t="s">
        <v>654</v>
      </c>
      <c r="F20" s="295" t="s">
        <v>654</v>
      </c>
      <c r="G20" s="303">
        <v>1500000</v>
      </c>
    </row>
    <row r="21" spans="2:7" ht="15" customHeight="1" thickBot="1">
      <c r="B21" s="284"/>
      <c r="C21" s="285"/>
      <c r="D21" s="298" t="s">
        <v>9</v>
      </c>
      <c r="E21" s="287"/>
      <c r="F21" s="287"/>
      <c r="G21" s="288">
        <f>SUM(G19:G20)</f>
        <v>4000000</v>
      </c>
    </row>
    <row r="22" spans="2:7" ht="15" customHeight="1" thickBot="1">
      <c r="B22" s="301"/>
      <c r="C22" s="302"/>
      <c r="D22" s="295"/>
      <c r="E22" s="295"/>
      <c r="F22" s="295"/>
      <c r="G22" s="303"/>
    </row>
    <row r="23" spans="2:7" ht="15" customHeight="1" thickBot="1">
      <c r="B23" s="284"/>
      <c r="C23" s="285"/>
      <c r="D23" s="298" t="s">
        <v>670</v>
      </c>
      <c r="E23" s="287"/>
      <c r="F23" s="287"/>
      <c r="G23" s="288">
        <f>SUM(G21,G15,G8,G18,G12)</f>
        <v>46000000</v>
      </c>
    </row>
  </sheetData>
  <sheetProtection/>
  <mergeCells count="12">
    <mergeCell ref="B16:B17"/>
    <mergeCell ref="C16:C17"/>
    <mergeCell ref="B19:B20"/>
    <mergeCell ref="C19:C20"/>
    <mergeCell ref="B6:B7"/>
    <mergeCell ref="B13:B14"/>
    <mergeCell ref="C13:C14"/>
    <mergeCell ref="B1:H1"/>
    <mergeCell ref="B2:H2"/>
    <mergeCell ref="C3:H3"/>
    <mergeCell ref="B9:B11"/>
    <mergeCell ref="C9:C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1">
      <selection activeCell="I11" sqref="I11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1" customWidth="1"/>
    <col min="8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 t="s">
        <v>952</v>
      </c>
      <c r="C2" s="1143"/>
      <c r="D2" s="1143"/>
      <c r="E2" s="1143"/>
      <c r="F2" s="1143"/>
      <c r="G2" s="1143"/>
    </row>
    <row r="3" spans="2:7" ht="15" customHeight="1">
      <c r="B3" s="223"/>
      <c r="C3" s="1157" t="s">
        <v>953</v>
      </c>
      <c r="D3" s="1157"/>
      <c r="E3" s="1157"/>
      <c r="F3" s="1157"/>
      <c r="G3" s="1157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151">
        <v>1</v>
      </c>
      <c r="C6" s="1148" t="s">
        <v>27</v>
      </c>
      <c r="D6" s="167" t="s">
        <v>671</v>
      </c>
      <c r="E6" s="167" t="s">
        <v>682</v>
      </c>
      <c r="F6" s="167" t="s">
        <v>672</v>
      </c>
      <c r="G6" s="169">
        <v>2500000</v>
      </c>
    </row>
    <row r="7" spans="2:7" ht="15" customHeight="1">
      <c r="B7" s="1152"/>
      <c r="C7" s="1149"/>
      <c r="D7" s="167" t="s">
        <v>673</v>
      </c>
      <c r="E7" s="167" t="s">
        <v>682</v>
      </c>
      <c r="F7" s="167" t="s">
        <v>674</v>
      </c>
      <c r="G7" s="169">
        <v>4000000</v>
      </c>
    </row>
    <row r="8" spans="2:7" ht="15" customHeight="1">
      <c r="B8" s="1152"/>
      <c r="C8" s="1149"/>
      <c r="D8" s="167" t="s">
        <v>675</v>
      </c>
      <c r="E8" s="167" t="s">
        <v>682</v>
      </c>
      <c r="F8" s="167" t="s">
        <v>676</v>
      </c>
      <c r="G8" s="169">
        <v>1000000</v>
      </c>
    </row>
    <row r="9" spans="2:7" ht="15" customHeight="1">
      <c r="B9" s="1152"/>
      <c r="C9" s="1149"/>
      <c r="D9" s="167" t="s">
        <v>677</v>
      </c>
      <c r="E9" s="167" t="s">
        <v>682</v>
      </c>
      <c r="F9" s="167" t="s">
        <v>678</v>
      </c>
      <c r="G9" s="169">
        <v>1000000</v>
      </c>
    </row>
    <row r="10" spans="2:7" ht="15" customHeight="1" thickBot="1">
      <c r="B10" s="1153"/>
      <c r="C10" s="1167"/>
      <c r="D10" s="167" t="s">
        <v>679</v>
      </c>
      <c r="E10" s="167" t="s">
        <v>682</v>
      </c>
      <c r="F10" s="167" t="s">
        <v>680</v>
      </c>
      <c r="G10" s="169">
        <v>1500000</v>
      </c>
    </row>
    <row r="11" spans="2:7" ht="15" customHeight="1" thickBot="1">
      <c r="B11" s="185"/>
      <c r="C11" s="178"/>
      <c r="D11" s="179" t="s">
        <v>9</v>
      </c>
      <c r="E11" s="180"/>
      <c r="F11" s="180"/>
      <c r="G11" s="186">
        <f>SUM(G6:G10)</f>
        <v>10000000</v>
      </c>
    </row>
    <row r="12" spans="2:7" ht="15" customHeight="1">
      <c r="B12" s="1154">
        <v>3</v>
      </c>
      <c r="C12" s="166"/>
      <c r="D12" s="253"/>
      <c r="E12" s="167"/>
      <c r="F12" s="167"/>
      <c r="G12" s="264"/>
    </row>
    <row r="13" spans="2:7" ht="15" customHeight="1">
      <c r="B13" s="1152"/>
      <c r="C13" s="1148" t="s">
        <v>659</v>
      </c>
      <c r="D13" s="167" t="s">
        <v>681</v>
      </c>
      <c r="E13" s="167" t="s">
        <v>682</v>
      </c>
      <c r="F13" s="167" t="s">
        <v>946</v>
      </c>
      <c r="G13" s="169">
        <v>4000000</v>
      </c>
    </row>
    <row r="14" spans="2:7" ht="15" customHeight="1">
      <c r="B14" s="1152"/>
      <c r="C14" s="1149"/>
      <c r="D14" s="167" t="s">
        <v>684</v>
      </c>
      <c r="E14" s="167" t="s">
        <v>682</v>
      </c>
      <c r="F14" s="167" t="s">
        <v>947</v>
      </c>
      <c r="G14" s="169">
        <v>2500000</v>
      </c>
    </row>
    <row r="15" spans="2:7" ht="15" customHeight="1" thickBot="1">
      <c r="B15" s="1153"/>
      <c r="C15" s="1167"/>
      <c r="D15" s="187" t="s">
        <v>686</v>
      </c>
      <c r="E15" s="167" t="s">
        <v>682</v>
      </c>
      <c r="F15" s="187" t="s">
        <v>687</v>
      </c>
      <c r="G15" s="188">
        <v>4000000</v>
      </c>
    </row>
    <row r="16" spans="2:7" ht="15" customHeight="1" thickBot="1">
      <c r="B16" s="185"/>
      <c r="C16" s="180"/>
      <c r="D16" s="179" t="s">
        <v>9</v>
      </c>
      <c r="E16" s="180"/>
      <c r="F16" s="180"/>
      <c r="G16" s="184">
        <f>SUM(G13:G15)</f>
        <v>10500000</v>
      </c>
    </row>
    <row r="17" spans="2:7" ht="15" customHeight="1">
      <c r="B17" s="1154">
        <v>4</v>
      </c>
      <c r="C17" s="1156" t="s">
        <v>688</v>
      </c>
      <c r="D17" s="176" t="s">
        <v>689</v>
      </c>
      <c r="E17" s="176" t="s">
        <v>682</v>
      </c>
      <c r="F17" s="176" t="s">
        <v>682</v>
      </c>
      <c r="G17" s="189">
        <v>500000</v>
      </c>
    </row>
    <row r="18" spans="2:7" ht="15" customHeight="1">
      <c r="B18" s="1152"/>
      <c r="C18" s="1149"/>
      <c r="D18" s="167" t="s">
        <v>690</v>
      </c>
      <c r="E18" s="176" t="s">
        <v>682</v>
      </c>
      <c r="F18" s="167" t="s">
        <v>691</v>
      </c>
      <c r="G18" s="169">
        <v>3000000</v>
      </c>
    </row>
    <row r="19" spans="2:7" ht="15" customHeight="1">
      <c r="B19" s="1152"/>
      <c r="C19" s="1149"/>
      <c r="D19" s="167" t="s">
        <v>692</v>
      </c>
      <c r="E19" s="176" t="s">
        <v>682</v>
      </c>
      <c r="F19" s="167" t="s">
        <v>685</v>
      </c>
      <c r="G19" s="169">
        <v>2500000</v>
      </c>
    </row>
    <row r="20" spans="2:7" ht="15" customHeight="1">
      <c r="B20" s="1152"/>
      <c r="C20" s="1149"/>
      <c r="D20" s="167" t="s">
        <v>693</v>
      </c>
      <c r="E20" s="176" t="s">
        <v>682</v>
      </c>
      <c r="F20" s="167" t="s">
        <v>694</v>
      </c>
      <c r="G20" s="169">
        <v>1500000</v>
      </c>
    </row>
    <row r="21" spans="2:7" ht="15" customHeight="1">
      <c r="B21" s="1152"/>
      <c r="C21" s="1149"/>
      <c r="D21" s="170" t="s">
        <v>695</v>
      </c>
      <c r="E21" s="176" t="s">
        <v>682</v>
      </c>
      <c r="F21" s="170" t="s">
        <v>696</v>
      </c>
      <c r="G21" s="171">
        <v>4000000</v>
      </c>
    </row>
    <row r="22" spans="2:7" ht="15" customHeight="1">
      <c r="B22" s="1152"/>
      <c r="C22" s="1149"/>
      <c r="D22" s="170" t="s">
        <v>697</v>
      </c>
      <c r="E22" s="176" t="s">
        <v>682</v>
      </c>
      <c r="F22" s="170" t="s">
        <v>698</v>
      </c>
      <c r="G22" s="171">
        <v>2000000</v>
      </c>
    </row>
    <row r="23" spans="2:7" ht="15" customHeight="1">
      <c r="B23" s="1152"/>
      <c r="C23" s="1149"/>
      <c r="D23" s="170" t="s">
        <v>699</v>
      </c>
      <c r="E23" s="176" t="s">
        <v>682</v>
      </c>
      <c r="F23" s="170" t="s">
        <v>698</v>
      </c>
      <c r="G23" s="171">
        <v>3000000</v>
      </c>
    </row>
    <row r="24" spans="2:7" ht="15" customHeight="1">
      <c r="B24" s="1152"/>
      <c r="C24" s="1149"/>
      <c r="D24" s="170" t="s">
        <v>700</v>
      </c>
      <c r="E24" s="176" t="s">
        <v>682</v>
      </c>
      <c r="F24" s="170" t="s">
        <v>683</v>
      </c>
      <c r="G24" s="171">
        <v>6000000</v>
      </c>
    </row>
    <row r="25" spans="2:7" ht="15" customHeight="1">
      <c r="B25" s="1152"/>
      <c r="C25" s="1149"/>
      <c r="D25" s="170" t="s">
        <v>701</v>
      </c>
      <c r="E25" s="176" t="s">
        <v>682</v>
      </c>
      <c r="F25" s="170" t="s">
        <v>683</v>
      </c>
      <c r="G25" s="171">
        <v>2000000</v>
      </c>
    </row>
    <row r="26" spans="2:7" ht="15" customHeight="1">
      <c r="B26" s="1152"/>
      <c r="C26" s="1149"/>
      <c r="D26" s="170" t="s">
        <v>702</v>
      </c>
      <c r="E26" s="176" t="s">
        <v>682</v>
      </c>
      <c r="F26" s="170" t="s">
        <v>703</v>
      </c>
      <c r="G26" s="171">
        <v>8000000</v>
      </c>
    </row>
    <row r="27" spans="2:7" ht="15" customHeight="1">
      <c r="B27" s="1152"/>
      <c r="C27" s="1149"/>
      <c r="D27" s="170" t="s">
        <v>704</v>
      </c>
      <c r="E27" s="176" t="s">
        <v>682</v>
      </c>
      <c r="F27" s="170" t="s">
        <v>705</v>
      </c>
      <c r="G27" s="171">
        <v>1700000</v>
      </c>
    </row>
    <row r="28" spans="2:7" ht="15" customHeight="1">
      <c r="B28" s="1152"/>
      <c r="C28" s="1149"/>
      <c r="D28" s="170" t="s">
        <v>692</v>
      </c>
      <c r="E28" s="176" t="s">
        <v>682</v>
      </c>
      <c r="F28" s="170" t="s">
        <v>698</v>
      </c>
      <c r="G28" s="171">
        <v>1100000</v>
      </c>
    </row>
    <row r="29" spans="2:7" ht="15" customHeight="1">
      <c r="B29" s="1152"/>
      <c r="C29" s="1149"/>
      <c r="D29" s="170" t="s">
        <v>706</v>
      </c>
      <c r="E29" s="176" t="s">
        <v>682</v>
      </c>
      <c r="F29" s="170" t="s">
        <v>707</v>
      </c>
      <c r="G29" s="171">
        <v>2500000</v>
      </c>
    </row>
    <row r="30" spans="2:7" ht="15" customHeight="1">
      <c r="B30" s="1152"/>
      <c r="C30" s="1149"/>
      <c r="D30" s="170" t="s">
        <v>708</v>
      </c>
      <c r="E30" s="176" t="s">
        <v>682</v>
      </c>
      <c r="F30" s="170" t="s">
        <v>698</v>
      </c>
      <c r="G30" s="171">
        <v>3000000</v>
      </c>
    </row>
    <row r="31" spans="2:7" ht="15" customHeight="1" thickBot="1">
      <c r="B31" s="1153"/>
      <c r="C31" s="1167"/>
      <c r="D31" s="187" t="s">
        <v>709</v>
      </c>
      <c r="E31" s="176" t="s">
        <v>682</v>
      </c>
      <c r="F31" s="187" t="s">
        <v>698</v>
      </c>
      <c r="G31" s="188">
        <v>1500000</v>
      </c>
    </row>
    <row r="32" spans="2:7" ht="15" customHeight="1" thickBot="1">
      <c r="B32" s="193"/>
      <c r="C32" s="194"/>
      <c r="D32" s="195" t="s">
        <v>9</v>
      </c>
      <c r="E32" s="196"/>
      <c r="F32" s="196"/>
      <c r="G32" s="197">
        <f>SUM(G17:G31)</f>
        <v>42300000</v>
      </c>
    </row>
    <row r="33" spans="2:7" ht="15" customHeight="1" thickBot="1">
      <c r="B33" s="175">
        <v>5</v>
      </c>
      <c r="C33" s="222" t="s">
        <v>667</v>
      </c>
      <c r="D33" s="191" t="s">
        <v>710</v>
      </c>
      <c r="E33" s="191" t="s">
        <v>682</v>
      </c>
      <c r="F33" s="191" t="s">
        <v>685</v>
      </c>
      <c r="G33" s="192">
        <v>3600000</v>
      </c>
    </row>
    <row r="34" spans="2:7" ht="15" customHeight="1" thickBot="1">
      <c r="B34" s="193"/>
      <c r="C34" s="194"/>
      <c r="D34" s="195" t="s">
        <v>9</v>
      </c>
      <c r="E34" s="196"/>
      <c r="F34" s="196"/>
      <c r="G34" s="197">
        <f>SUM(G33)</f>
        <v>3600000</v>
      </c>
    </row>
    <row r="35" spans="2:7" ht="15" customHeight="1">
      <c r="B35" s="229"/>
      <c r="C35" s="230"/>
      <c r="D35" s="231"/>
      <c r="E35" s="232"/>
      <c r="F35" s="232"/>
      <c r="G35" s="233"/>
    </row>
    <row r="36" spans="2:7" ht="15" customHeight="1" thickBot="1">
      <c r="B36" s="166"/>
      <c r="C36" s="168"/>
      <c r="D36" s="170"/>
      <c r="E36" s="170"/>
      <c r="F36" s="170"/>
      <c r="G36" s="171"/>
    </row>
    <row r="37" spans="2:7" ht="15" customHeight="1" thickBot="1">
      <c r="B37" s="193"/>
      <c r="C37" s="194"/>
      <c r="D37" s="195" t="s">
        <v>711</v>
      </c>
      <c r="E37" s="196"/>
      <c r="F37" s="196"/>
      <c r="G37" s="197">
        <f>SUM(G34,G32,G16,G11)</f>
        <v>66400000</v>
      </c>
    </row>
  </sheetData>
  <sheetProtection/>
  <mergeCells count="9">
    <mergeCell ref="B17:B31"/>
    <mergeCell ref="C17:C31"/>
    <mergeCell ref="B1:G1"/>
    <mergeCell ref="B2:G2"/>
    <mergeCell ref="C3:G3"/>
    <mergeCell ref="B6:B10"/>
    <mergeCell ref="C6:C10"/>
    <mergeCell ref="B12:B15"/>
    <mergeCell ref="C13:C1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D37" sqref="D37:G37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19.8515625" style="273" customWidth="1"/>
    <col min="4" max="4" width="40.57421875" style="273" customWidth="1"/>
    <col min="5" max="5" width="16.00390625" style="273" customWidth="1"/>
    <col min="6" max="6" width="14.00390625" style="273" customWidth="1"/>
    <col min="7" max="7" width="17.28125" style="273" customWidth="1"/>
    <col min="8" max="16384" width="9.140625" style="273" customWidth="1"/>
  </cols>
  <sheetData>
    <row r="1" spans="2:8" ht="15" customHeight="1">
      <c r="B1" s="1209" t="s">
        <v>334</v>
      </c>
      <c r="C1" s="1209"/>
      <c r="D1" s="1209"/>
      <c r="E1" s="1209"/>
      <c r="F1" s="1209"/>
      <c r="G1" s="1209"/>
      <c r="H1" s="1209"/>
    </row>
    <row r="2" spans="2:8" ht="15" customHeight="1">
      <c r="B2" s="1210" t="s">
        <v>942</v>
      </c>
      <c r="C2" s="1210"/>
      <c r="D2" s="1210"/>
      <c r="E2" s="1210"/>
      <c r="F2" s="1210"/>
      <c r="G2" s="1210"/>
      <c r="H2" s="1210"/>
    </row>
    <row r="3" spans="2:8" ht="15" customHeight="1">
      <c r="B3" s="274"/>
      <c r="C3" s="1211" t="s">
        <v>943</v>
      </c>
      <c r="D3" s="1211"/>
      <c r="E3" s="1211"/>
      <c r="F3" s="1211"/>
      <c r="G3" s="1211"/>
      <c r="H3" s="1211"/>
    </row>
    <row r="5" spans="2:7" ht="15" customHeight="1" thickBot="1">
      <c r="B5" s="275" t="s">
        <v>4</v>
      </c>
      <c r="C5" s="276" t="s">
        <v>8</v>
      </c>
      <c r="D5" s="419" t="s">
        <v>23</v>
      </c>
      <c r="E5" s="419" t="s">
        <v>7</v>
      </c>
      <c r="F5" s="420" t="s">
        <v>712</v>
      </c>
      <c r="G5" s="421" t="s">
        <v>5</v>
      </c>
    </row>
    <row r="6" spans="2:7" ht="15" customHeight="1">
      <c r="B6" s="1207">
        <v>1</v>
      </c>
      <c r="C6" s="1205" t="s">
        <v>713</v>
      </c>
      <c r="D6" s="321" t="s">
        <v>938</v>
      </c>
      <c r="E6" s="280" t="s">
        <v>918</v>
      </c>
      <c r="F6" s="280" t="s">
        <v>918</v>
      </c>
      <c r="G6" s="395">
        <v>6600000</v>
      </c>
    </row>
    <row r="7" spans="2:7" ht="15" customHeight="1">
      <c r="B7" s="1208"/>
      <c r="C7" s="1206"/>
      <c r="D7" s="323" t="s">
        <v>941</v>
      </c>
      <c r="E7" s="280" t="s">
        <v>918</v>
      </c>
      <c r="F7" s="280" t="s">
        <v>918</v>
      </c>
      <c r="G7" s="335">
        <v>3000000</v>
      </c>
    </row>
    <row r="8" spans="2:7" ht="15" customHeight="1" thickBot="1">
      <c r="B8" s="1214"/>
      <c r="C8" s="1215"/>
      <c r="D8" s="326"/>
      <c r="E8" s="326"/>
      <c r="F8" s="326"/>
      <c r="G8" s="334"/>
    </row>
    <row r="9" spans="2:7" ht="15" customHeight="1" thickBot="1">
      <c r="B9" s="299"/>
      <c r="C9" s="291"/>
      <c r="D9" s="292" t="s">
        <v>9</v>
      </c>
      <c r="E9" s="293"/>
      <c r="F9" s="293"/>
      <c r="G9" s="396">
        <f>SUM(G6:G8)</f>
        <v>9600000</v>
      </c>
    </row>
    <row r="10" spans="2:7" ht="15" customHeight="1">
      <c r="B10" s="1207">
        <v>2</v>
      </c>
      <c r="C10" s="1254" t="s">
        <v>30</v>
      </c>
      <c r="D10" s="417" t="s">
        <v>926</v>
      </c>
      <c r="E10" s="280" t="s">
        <v>918</v>
      </c>
      <c r="F10" s="279" t="s">
        <v>919</v>
      </c>
      <c r="G10" s="401">
        <v>1500000</v>
      </c>
    </row>
    <row r="11" spans="2:7" ht="15" customHeight="1">
      <c r="B11" s="1208"/>
      <c r="C11" s="1255"/>
      <c r="D11" s="418" t="s">
        <v>927</v>
      </c>
      <c r="E11" s="280" t="s">
        <v>918</v>
      </c>
      <c r="F11" s="279" t="s">
        <v>920</v>
      </c>
      <c r="G11" s="401">
        <v>1500000</v>
      </c>
    </row>
    <row r="12" spans="2:7" ht="15" customHeight="1">
      <c r="B12" s="1208"/>
      <c r="C12" s="1255"/>
      <c r="D12" s="418" t="s">
        <v>928</v>
      </c>
      <c r="E12" s="280" t="s">
        <v>918</v>
      </c>
      <c r="F12" s="279" t="s">
        <v>581</v>
      </c>
      <c r="G12" s="401">
        <v>1500000</v>
      </c>
    </row>
    <row r="13" spans="2:7" ht="15" customHeight="1">
      <c r="B13" s="1208"/>
      <c r="C13" s="1255"/>
      <c r="D13" s="418" t="s">
        <v>928</v>
      </c>
      <c r="E13" s="280" t="s">
        <v>918</v>
      </c>
      <c r="F13" s="279" t="s">
        <v>921</v>
      </c>
      <c r="G13" s="401">
        <v>1500000</v>
      </c>
    </row>
    <row r="14" spans="2:7" ht="15" customHeight="1">
      <c r="B14" s="1208"/>
      <c r="C14" s="1255"/>
      <c r="D14" s="418" t="s">
        <v>928</v>
      </c>
      <c r="E14" s="280" t="s">
        <v>918</v>
      </c>
      <c r="F14" s="279" t="s">
        <v>922</v>
      </c>
      <c r="G14" s="401">
        <v>1500000</v>
      </c>
    </row>
    <row r="15" spans="2:7" ht="15" customHeight="1">
      <c r="B15" s="1208"/>
      <c r="C15" s="1255"/>
      <c r="D15" s="418" t="s">
        <v>929</v>
      </c>
      <c r="E15" s="280" t="s">
        <v>918</v>
      </c>
      <c r="F15" s="279" t="s">
        <v>923</v>
      </c>
      <c r="G15" s="401">
        <v>1500000</v>
      </c>
    </row>
    <row r="16" spans="2:7" ht="15" customHeight="1">
      <c r="B16" s="1208"/>
      <c r="C16" s="1255"/>
      <c r="D16" s="418" t="s">
        <v>930</v>
      </c>
      <c r="E16" s="280" t="s">
        <v>918</v>
      </c>
      <c r="F16" s="279" t="s">
        <v>924</v>
      </c>
      <c r="G16" s="401">
        <v>1500000</v>
      </c>
    </row>
    <row r="17" spans="2:7" ht="15" customHeight="1">
      <c r="B17" s="1208"/>
      <c r="C17" s="1255"/>
      <c r="D17" s="418" t="s">
        <v>930</v>
      </c>
      <c r="E17" s="280" t="s">
        <v>918</v>
      </c>
      <c r="F17" s="279" t="s">
        <v>925</v>
      </c>
      <c r="G17" s="401">
        <v>1500000</v>
      </c>
    </row>
    <row r="18" spans="2:7" ht="15" customHeight="1">
      <c r="B18" s="1208"/>
      <c r="C18" s="1255"/>
      <c r="D18" s="418" t="s">
        <v>931</v>
      </c>
      <c r="E18" s="280" t="s">
        <v>918</v>
      </c>
      <c r="F18" s="279" t="s">
        <v>923</v>
      </c>
      <c r="G18" s="401">
        <v>2000000</v>
      </c>
    </row>
    <row r="19" spans="2:7" ht="15" customHeight="1">
      <c r="B19" s="1208"/>
      <c r="C19" s="1255"/>
      <c r="D19" s="418" t="s">
        <v>928</v>
      </c>
      <c r="E19" s="280" t="s">
        <v>918</v>
      </c>
      <c r="F19" s="295"/>
      <c r="G19" s="401">
        <v>1500000</v>
      </c>
    </row>
    <row r="20" spans="2:7" ht="15" customHeight="1" thickBot="1">
      <c r="B20" s="1214"/>
      <c r="C20" s="1215"/>
      <c r="D20" s="416" t="s">
        <v>932</v>
      </c>
      <c r="E20" s="280" t="s">
        <v>918</v>
      </c>
      <c r="F20" s="295"/>
      <c r="G20" s="401">
        <v>2300000</v>
      </c>
    </row>
    <row r="21" spans="2:7" ht="15" customHeight="1" thickBot="1">
      <c r="B21" s="284"/>
      <c r="C21" s="285"/>
      <c r="D21" s="298" t="s">
        <v>9</v>
      </c>
      <c r="E21" s="287"/>
      <c r="F21" s="287"/>
      <c r="G21" s="398">
        <f>SUM(G10:G20)</f>
        <v>17800000</v>
      </c>
    </row>
    <row r="22" spans="2:7" ht="15" customHeight="1">
      <c r="B22" s="1243">
        <v>3</v>
      </c>
      <c r="C22" s="1205" t="s">
        <v>27</v>
      </c>
      <c r="D22" s="354" t="s">
        <v>944</v>
      </c>
      <c r="E22" s="280" t="s">
        <v>918</v>
      </c>
      <c r="F22" s="321" t="s">
        <v>714</v>
      </c>
      <c r="G22" s="395">
        <v>2000000</v>
      </c>
    </row>
    <row r="23" spans="2:7" ht="15" customHeight="1">
      <c r="B23" s="1246"/>
      <c r="C23" s="1206"/>
      <c r="D23" s="324" t="s">
        <v>945</v>
      </c>
      <c r="E23" s="280" t="s">
        <v>918</v>
      </c>
      <c r="F23" s="323" t="s">
        <v>715</v>
      </c>
      <c r="G23" s="335">
        <v>2000000</v>
      </c>
    </row>
    <row r="24" spans="2:7" ht="15" customHeight="1" thickBot="1">
      <c r="B24" s="1244"/>
      <c r="C24" s="1215"/>
      <c r="D24" s="339"/>
      <c r="E24" s="339"/>
      <c r="F24" s="339"/>
      <c r="G24" s="397"/>
    </row>
    <row r="25" spans="2:7" ht="15" customHeight="1" thickBot="1">
      <c r="B25" s="290"/>
      <c r="C25" s="293"/>
      <c r="D25" s="292" t="s">
        <v>9</v>
      </c>
      <c r="E25" s="293"/>
      <c r="F25" s="293"/>
      <c r="G25" s="396">
        <f>SUM(G22:G24)</f>
        <v>4000000</v>
      </c>
    </row>
    <row r="26" spans="2:7" ht="15" customHeight="1">
      <c r="B26" s="1207">
        <v>4</v>
      </c>
      <c r="C26" s="1205" t="s">
        <v>659</v>
      </c>
      <c r="D26" s="399" t="s">
        <v>948</v>
      </c>
      <c r="E26" s="280" t="s">
        <v>918</v>
      </c>
      <c r="F26" s="399" t="s">
        <v>950</v>
      </c>
      <c r="G26" s="400">
        <v>4000000</v>
      </c>
    </row>
    <row r="27" spans="2:7" ht="15" customHeight="1">
      <c r="B27" s="1208"/>
      <c r="C27" s="1245"/>
      <c r="D27" s="295" t="s">
        <v>949</v>
      </c>
      <c r="E27" s="280" t="s">
        <v>918</v>
      </c>
      <c r="F27" s="295" t="s">
        <v>921</v>
      </c>
      <c r="G27" s="401">
        <v>2304601</v>
      </c>
    </row>
    <row r="28" spans="2:7" ht="15" customHeight="1" thickBot="1">
      <c r="B28" s="1214"/>
      <c r="C28" s="302"/>
      <c r="D28" s="295"/>
      <c r="E28" s="295"/>
      <c r="F28" s="295"/>
      <c r="G28" s="401"/>
    </row>
    <row r="29" spans="2:7" ht="15" customHeight="1" thickBot="1">
      <c r="B29" s="284"/>
      <c r="C29" s="285"/>
      <c r="D29" s="298" t="s">
        <v>9</v>
      </c>
      <c r="E29" s="287"/>
      <c r="F29" s="287"/>
      <c r="G29" s="398">
        <f>SUM(G26:G28)</f>
        <v>6304601</v>
      </c>
    </row>
    <row r="30" spans="2:7" ht="15" customHeight="1">
      <c r="B30" s="1250">
        <v>5</v>
      </c>
      <c r="C30" s="1252" t="s">
        <v>26</v>
      </c>
      <c r="D30" s="422" t="s">
        <v>933</v>
      </c>
      <c r="E30" s="311" t="s">
        <v>918</v>
      </c>
      <c r="F30" s="426" t="s">
        <v>921</v>
      </c>
      <c r="G30" s="335">
        <v>3000000</v>
      </c>
    </row>
    <row r="31" spans="2:7" ht="15" customHeight="1">
      <c r="B31" s="1250"/>
      <c r="C31" s="1252"/>
      <c r="D31" s="422" t="s">
        <v>934</v>
      </c>
      <c r="E31" s="311" t="s">
        <v>918</v>
      </c>
      <c r="F31" s="422" t="s">
        <v>939</v>
      </c>
      <c r="G31" s="335">
        <v>3000000</v>
      </c>
    </row>
    <row r="32" spans="2:7" ht="15" customHeight="1">
      <c r="B32" s="1250"/>
      <c r="C32" s="1252"/>
      <c r="D32" s="422" t="s">
        <v>933</v>
      </c>
      <c r="E32" s="311" t="s">
        <v>918</v>
      </c>
      <c r="F32" s="422" t="s">
        <v>940</v>
      </c>
      <c r="G32" s="335">
        <v>3900000</v>
      </c>
    </row>
    <row r="33" spans="2:7" ht="15" customHeight="1">
      <c r="B33" s="1250"/>
      <c r="C33" s="1252"/>
      <c r="D33" s="422" t="s">
        <v>935</v>
      </c>
      <c r="E33" s="311" t="s">
        <v>918</v>
      </c>
      <c r="F33" s="422" t="s">
        <v>919</v>
      </c>
      <c r="G33" s="335">
        <v>1700000</v>
      </c>
    </row>
    <row r="34" spans="2:7" ht="15" customHeight="1">
      <c r="B34" s="1250"/>
      <c r="C34" s="1252"/>
      <c r="D34" s="422" t="s">
        <v>936</v>
      </c>
      <c r="E34" s="311" t="s">
        <v>918</v>
      </c>
      <c r="F34" s="422" t="s">
        <v>918</v>
      </c>
      <c r="G34" s="335">
        <v>3900000</v>
      </c>
    </row>
    <row r="35" spans="2:7" ht="15" customHeight="1" thickBot="1">
      <c r="B35" s="1251"/>
      <c r="C35" s="1253"/>
      <c r="D35" s="427" t="s">
        <v>937</v>
      </c>
      <c r="E35" s="318" t="s">
        <v>918</v>
      </c>
      <c r="F35" s="427" t="s">
        <v>918</v>
      </c>
      <c r="G35" s="428">
        <v>3600000</v>
      </c>
    </row>
    <row r="36" spans="2:7" ht="15" customHeight="1" thickBot="1">
      <c r="B36" s="290"/>
      <c r="C36" s="291"/>
      <c r="D36" s="292" t="s">
        <v>9</v>
      </c>
      <c r="E36" s="293"/>
      <c r="F36" s="293"/>
      <c r="G36" s="394">
        <f>SUM(G30:G35)</f>
        <v>19100000</v>
      </c>
    </row>
    <row r="37" spans="2:7" ht="15" customHeight="1">
      <c r="B37" s="1207">
        <v>6</v>
      </c>
      <c r="C37" s="1205" t="s">
        <v>38</v>
      </c>
      <c r="D37" s="321" t="s">
        <v>951</v>
      </c>
      <c r="E37" s="280" t="s">
        <v>918</v>
      </c>
      <c r="F37" s="321" t="s">
        <v>715</v>
      </c>
      <c r="G37" s="395">
        <v>4900000</v>
      </c>
    </row>
    <row r="38" spans="2:7" ht="15" customHeight="1" thickBot="1">
      <c r="B38" s="1214"/>
      <c r="C38" s="1215"/>
      <c r="D38" s="339"/>
      <c r="E38" s="339"/>
      <c r="F38" s="339"/>
      <c r="G38" s="397"/>
    </row>
    <row r="39" spans="2:7" ht="15" customHeight="1" thickBot="1">
      <c r="B39" s="284"/>
      <c r="C39" s="285"/>
      <c r="D39" s="298" t="s">
        <v>9</v>
      </c>
      <c r="E39" s="287"/>
      <c r="F39" s="287"/>
      <c r="G39" s="398">
        <f>SUM(G37:G38)</f>
        <v>4900000</v>
      </c>
    </row>
    <row r="40" spans="2:7" ht="15" customHeight="1" thickBot="1">
      <c r="B40" s="301"/>
      <c r="C40" s="302"/>
      <c r="D40" s="295"/>
      <c r="E40" s="295"/>
      <c r="F40" s="295"/>
      <c r="G40" s="401"/>
    </row>
    <row r="41" spans="2:7" ht="15" customHeight="1" thickBot="1">
      <c r="B41" s="284"/>
      <c r="C41" s="285"/>
      <c r="D41" s="298" t="s">
        <v>716</v>
      </c>
      <c r="E41" s="287"/>
      <c r="F41" s="287"/>
      <c r="G41" s="398">
        <f>SUM(G21,G29,G39,G25,G9,G36)</f>
        <v>61704601</v>
      </c>
    </row>
  </sheetData>
  <sheetProtection/>
  <mergeCells count="15">
    <mergeCell ref="B1:H1"/>
    <mergeCell ref="B2:H2"/>
    <mergeCell ref="C3:H3"/>
    <mergeCell ref="C6:C8"/>
    <mergeCell ref="C26:C27"/>
    <mergeCell ref="B10:B20"/>
    <mergeCell ref="C10:C20"/>
    <mergeCell ref="B30:B35"/>
    <mergeCell ref="C30:C35"/>
    <mergeCell ref="B6:B8"/>
    <mergeCell ref="B22:B24"/>
    <mergeCell ref="C22:C24"/>
    <mergeCell ref="B37:B38"/>
    <mergeCell ref="C37:C38"/>
    <mergeCell ref="B26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D38" sqref="D38:G38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18.7109375" style="273" customWidth="1"/>
    <col min="4" max="4" width="79.28125" style="273" customWidth="1"/>
    <col min="5" max="5" width="16.00390625" style="273" customWidth="1"/>
    <col min="6" max="6" width="18.7109375" style="273" customWidth="1"/>
    <col min="7" max="7" width="15.421875" style="273" customWidth="1"/>
    <col min="8" max="8" width="9.140625" style="273" customWidth="1"/>
    <col min="9" max="9" width="12.00390625" style="273" customWidth="1"/>
    <col min="10" max="10" width="11.140625" style="273" customWidth="1"/>
    <col min="11" max="11" width="11.57421875" style="273" customWidth="1"/>
    <col min="12" max="16384" width="9.140625" style="273" customWidth="1"/>
  </cols>
  <sheetData>
    <row r="1" spans="2:8" ht="15" customHeight="1">
      <c r="B1" s="1209" t="s">
        <v>496</v>
      </c>
      <c r="C1" s="1209"/>
      <c r="D1" s="1209"/>
      <c r="E1" s="1209"/>
      <c r="F1" s="1209"/>
      <c r="G1" s="1209"/>
      <c r="H1" s="1209"/>
    </row>
    <row r="2" spans="2:8" ht="15" customHeight="1">
      <c r="B2" s="1209" t="s">
        <v>717</v>
      </c>
      <c r="C2" s="1209"/>
      <c r="D2" s="1209"/>
      <c r="E2" s="1209"/>
      <c r="F2" s="1209"/>
      <c r="G2" s="1209"/>
      <c r="H2" s="1209"/>
    </row>
    <row r="3" spans="2:8" ht="15" customHeight="1">
      <c r="B3" s="274"/>
      <c r="C3" s="1209" t="s">
        <v>590</v>
      </c>
      <c r="D3" s="1209"/>
      <c r="E3" s="1209"/>
      <c r="F3" s="1209"/>
      <c r="G3" s="1209"/>
      <c r="H3" s="1209"/>
    </row>
    <row r="5" spans="2:7" ht="15" customHeight="1" thickBo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07">
        <v>1</v>
      </c>
      <c r="C6" s="1205" t="s">
        <v>522</v>
      </c>
      <c r="D6" s="321" t="s">
        <v>744</v>
      </c>
      <c r="E6" s="321" t="s">
        <v>719</v>
      </c>
      <c r="F6" s="322" t="s">
        <v>720</v>
      </c>
      <c r="G6" s="322">
        <v>3850000</v>
      </c>
    </row>
    <row r="7" spans="2:7" ht="15" customHeight="1">
      <c r="B7" s="1208"/>
      <c r="C7" s="1206"/>
      <c r="D7" s="321" t="s">
        <v>745</v>
      </c>
      <c r="E7" s="323" t="s">
        <v>719</v>
      </c>
      <c r="F7" s="329" t="s">
        <v>720</v>
      </c>
      <c r="G7" s="329">
        <v>1100000</v>
      </c>
    </row>
    <row r="8" spans="2:9" ht="15" customHeight="1">
      <c r="B8" s="1208"/>
      <c r="C8" s="1206"/>
      <c r="D8" s="321" t="s">
        <v>746</v>
      </c>
      <c r="E8" s="323" t="s">
        <v>719</v>
      </c>
      <c r="F8" s="329" t="s">
        <v>720</v>
      </c>
      <c r="G8" s="329">
        <v>500000</v>
      </c>
      <c r="I8" s="304"/>
    </row>
    <row r="9" spans="2:10" ht="15" customHeight="1">
      <c r="B9" s="1208"/>
      <c r="C9" s="1206"/>
      <c r="D9" s="321" t="s">
        <v>747</v>
      </c>
      <c r="E9" s="323" t="s">
        <v>719</v>
      </c>
      <c r="F9" s="329" t="s">
        <v>719</v>
      </c>
      <c r="G9" s="329">
        <v>2000000</v>
      </c>
      <c r="J9" s="304"/>
    </row>
    <row r="10" spans="2:11" ht="15" customHeight="1">
      <c r="B10" s="1208"/>
      <c r="C10" s="1206"/>
      <c r="D10" s="323" t="s">
        <v>748</v>
      </c>
      <c r="E10" s="326" t="s">
        <v>719</v>
      </c>
      <c r="F10" s="342" t="s">
        <v>731</v>
      </c>
      <c r="G10" s="342">
        <v>1000000</v>
      </c>
      <c r="K10" s="304"/>
    </row>
    <row r="11" spans="2:7" ht="15" customHeight="1" thickBot="1">
      <c r="B11" s="1214"/>
      <c r="C11" s="1215"/>
      <c r="D11" s="339"/>
      <c r="E11" s="339"/>
      <c r="F11" s="339"/>
      <c r="G11" s="397"/>
    </row>
    <row r="12" spans="2:7" ht="15" customHeight="1" thickBot="1">
      <c r="B12" s="284"/>
      <c r="C12" s="285"/>
      <c r="D12" s="298" t="s">
        <v>9</v>
      </c>
      <c r="E12" s="287"/>
      <c r="F12" s="287"/>
      <c r="G12" s="398">
        <f>SUM(G6:G11)</f>
        <v>8450000</v>
      </c>
    </row>
    <row r="13" spans="2:7" ht="15" customHeight="1">
      <c r="B13" s="1256">
        <v>2</v>
      </c>
      <c r="C13" s="1216" t="s">
        <v>0</v>
      </c>
      <c r="D13" s="323" t="s">
        <v>718</v>
      </c>
      <c r="E13" s="323" t="s">
        <v>719</v>
      </c>
      <c r="F13" s="323" t="s">
        <v>720</v>
      </c>
      <c r="G13" s="330">
        <v>2800000</v>
      </c>
    </row>
    <row r="14" spans="2:7" ht="15" customHeight="1">
      <c r="B14" s="1257"/>
      <c r="C14" s="1206"/>
      <c r="D14" s="323" t="s">
        <v>721</v>
      </c>
      <c r="E14" s="323" t="s">
        <v>719</v>
      </c>
      <c r="F14" s="323" t="s">
        <v>720</v>
      </c>
      <c r="G14" s="330">
        <v>550000</v>
      </c>
    </row>
    <row r="15" spans="2:9" ht="15" customHeight="1">
      <c r="B15" s="1257"/>
      <c r="C15" s="1206"/>
      <c r="D15" s="326" t="s">
        <v>722</v>
      </c>
      <c r="E15" s="326" t="s">
        <v>719</v>
      </c>
      <c r="F15" s="326" t="s">
        <v>720</v>
      </c>
      <c r="G15" s="327">
        <v>2000000</v>
      </c>
      <c r="I15" s="402"/>
    </row>
    <row r="16" spans="2:7" ht="15" customHeight="1">
      <c r="B16" s="1257"/>
      <c r="C16" s="1206"/>
      <c r="D16" s="326" t="s">
        <v>723</v>
      </c>
      <c r="E16" s="326" t="s">
        <v>719</v>
      </c>
      <c r="F16" s="326" t="s">
        <v>719</v>
      </c>
      <c r="G16" s="327">
        <v>2000000</v>
      </c>
    </row>
    <row r="17" spans="2:7" ht="15" customHeight="1">
      <c r="B17" s="1257"/>
      <c r="C17" s="1206"/>
      <c r="D17" s="326" t="s">
        <v>724</v>
      </c>
      <c r="E17" s="326" t="s">
        <v>719</v>
      </c>
      <c r="F17" s="326" t="s">
        <v>719</v>
      </c>
      <c r="G17" s="327">
        <v>800000</v>
      </c>
    </row>
    <row r="18" spans="2:7" ht="15" customHeight="1">
      <c r="B18" s="1257"/>
      <c r="C18" s="1206"/>
      <c r="D18" s="326" t="s">
        <v>725</v>
      </c>
      <c r="E18" s="326" t="s">
        <v>719</v>
      </c>
      <c r="F18" s="326" t="s">
        <v>719</v>
      </c>
      <c r="G18" s="327">
        <v>1500000</v>
      </c>
    </row>
    <row r="19" spans="2:7" ht="15" customHeight="1">
      <c r="B19" s="1257"/>
      <c r="C19" s="1206"/>
      <c r="D19" s="326" t="s">
        <v>726</v>
      </c>
      <c r="E19" s="326" t="s">
        <v>719</v>
      </c>
      <c r="F19" s="326" t="s">
        <v>727</v>
      </c>
      <c r="G19" s="327">
        <v>1500000</v>
      </c>
    </row>
    <row r="20" spans="2:10" ht="24">
      <c r="B20" s="1257"/>
      <c r="C20" s="1206"/>
      <c r="D20" s="326" t="s">
        <v>728</v>
      </c>
      <c r="E20" s="326" t="s">
        <v>719</v>
      </c>
      <c r="F20" s="326" t="s">
        <v>729</v>
      </c>
      <c r="G20" s="327">
        <v>2800000</v>
      </c>
      <c r="J20" s="304"/>
    </row>
    <row r="21" spans="2:7" ht="15" customHeight="1">
      <c r="B21" s="1257"/>
      <c r="C21" s="1206"/>
      <c r="D21" s="326" t="s">
        <v>730</v>
      </c>
      <c r="E21" s="326" t="s">
        <v>719</v>
      </c>
      <c r="F21" s="326" t="s">
        <v>731</v>
      </c>
      <c r="G21" s="327">
        <v>1500000</v>
      </c>
    </row>
    <row r="22" spans="2:11" ht="15" customHeight="1" thickBot="1">
      <c r="B22" s="1258"/>
      <c r="C22" s="1215"/>
      <c r="D22" s="326" t="s">
        <v>732</v>
      </c>
      <c r="E22" s="326" t="s">
        <v>719</v>
      </c>
      <c r="F22" s="326" t="s">
        <v>731</v>
      </c>
      <c r="G22" s="327">
        <v>4500000</v>
      </c>
      <c r="K22" s="304"/>
    </row>
    <row r="23" spans="2:7" ht="15" customHeight="1" thickBot="1">
      <c r="B23" s="290"/>
      <c r="C23" s="291"/>
      <c r="D23" s="292" t="s">
        <v>9</v>
      </c>
      <c r="E23" s="293"/>
      <c r="F23" s="293"/>
      <c r="G23" s="394">
        <f>SUM(G13:G22)</f>
        <v>19950000</v>
      </c>
    </row>
    <row r="24" spans="2:9" ht="15" customHeight="1">
      <c r="B24" s="1243">
        <v>3</v>
      </c>
      <c r="C24" s="347" t="s">
        <v>519</v>
      </c>
      <c r="D24" s="354" t="s">
        <v>742</v>
      </c>
      <c r="E24" s="321" t="s">
        <v>719</v>
      </c>
      <c r="F24" s="321" t="s">
        <v>720</v>
      </c>
      <c r="G24" s="358">
        <v>4000000</v>
      </c>
      <c r="I24" s="304"/>
    </row>
    <row r="25" spans="2:11" ht="15" customHeight="1">
      <c r="B25" s="1246"/>
      <c r="C25" s="348"/>
      <c r="D25" s="324" t="s">
        <v>743</v>
      </c>
      <c r="E25" s="323" t="s">
        <v>719</v>
      </c>
      <c r="F25" s="323" t="s">
        <v>731</v>
      </c>
      <c r="G25" s="330">
        <v>4000000</v>
      </c>
      <c r="K25" s="304"/>
    </row>
    <row r="26" spans="2:7" ht="15" customHeight="1" thickBot="1">
      <c r="B26" s="1244"/>
      <c r="C26" s="351"/>
      <c r="D26" s="339"/>
      <c r="E26" s="339"/>
      <c r="F26" s="339"/>
      <c r="G26" s="397"/>
    </row>
    <row r="27" spans="2:7" ht="15" customHeight="1" thickBot="1">
      <c r="B27" s="290"/>
      <c r="C27" s="293"/>
      <c r="D27" s="292" t="s">
        <v>9</v>
      </c>
      <c r="E27" s="293"/>
      <c r="F27" s="293"/>
      <c r="G27" s="396">
        <f>SUM(G24:G26)</f>
        <v>8000000</v>
      </c>
    </row>
    <row r="28" spans="2:7" ht="15" customHeight="1">
      <c r="B28" s="1207">
        <v>4</v>
      </c>
      <c r="C28" s="1205" t="s">
        <v>508</v>
      </c>
      <c r="D28" s="321" t="s">
        <v>733</v>
      </c>
      <c r="E28" s="321" t="s">
        <v>719</v>
      </c>
      <c r="F28" s="321" t="s">
        <v>720</v>
      </c>
      <c r="G28" s="358">
        <v>1200000</v>
      </c>
    </row>
    <row r="29" spans="2:7" ht="15" customHeight="1">
      <c r="B29" s="1208"/>
      <c r="C29" s="1206"/>
      <c r="D29" s="323" t="s">
        <v>734</v>
      </c>
      <c r="E29" s="323" t="s">
        <v>719</v>
      </c>
      <c r="F29" s="323" t="s">
        <v>720</v>
      </c>
      <c r="G29" s="330">
        <v>500000</v>
      </c>
    </row>
    <row r="30" spans="2:9" ht="15" customHeight="1">
      <c r="B30" s="1208"/>
      <c r="C30" s="1206"/>
      <c r="D30" s="326" t="s">
        <v>735</v>
      </c>
      <c r="E30" s="326" t="s">
        <v>719</v>
      </c>
      <c r="F30" s="326" t="s">
        <v>720</v>
      </c>
      <c r="G30" s="327">
        <v>2500000</v>
      </c>
      <c r="I30" s="304"/>
    </row>
    <row r="31" spans="2:7" ht="15" customHeight="1">
      <c r="B31" s="1208"/>
      <c r="C31" s="1206"/>
      <c r="D31" s="326" t="s">
        <v>736</v>
      </c>
      <c r="E31" s="326" t="s">
        <v>719</v>
      </c>
      <c r="F31" s="326" t="s">
        <v>727</v>
      </c>
      <c r="G31" s="327">
        <v>1500000</v>
      </c>
    </row>
    <row r="32" spans="2:7" ht="15" customHeight="1">
      <c r="B32" s="1208"/>
      <c r="C32" s="1206"/>
      <c r="D32" s="326" t="s">
        <v>737</v>
      </c>
      <c r="E32" s="326" t="s">
        <v>719</v>
      </c>
      <c r="F32" s="326" t="s">
        <v>729</v>
      </c>
      <c r="G32" s="327">
        <v>3000000</v>
      </c>
    </row>
    <row r="33" spans="2:10" ht="15" customHeight="1">
      <c r="B33" s="1208"/>
      <c r="C33" s="1206"/>
      <c r="D33" s="323" t="s">
        <v>738</v>
      </c>
      <c r="E33" s="323" t="s">
        <v>719</v>
      </c>
      <c r="F33" s="323" t="s">
        <v>719</v>
      </c>
      <c r="G33" s="330">
        <v>1000000</v>
      </c>
      <c r="J33" s="304"/>
    </row>
    <row r="34" spans="2:7" ht="15" customHeight="1">
      <c r="B34" s="1208"/>
      <c r="C34" s="1206"/>
      <c r="D34" s="337" t="s">
        <v>739</v>
      </c>
      <c r="E34" s="337" t="s">
        <v>719</v>
      </c>
      <c r="F34" s="337" t="s">
        <v>731</v>
      </c>
      <c r="G34" s="403">
        <f>300000+194077</f>
        <v>494077</v>
      </c>
    </row>
    <row r="35" spans="2:7" ht="15" customHeight="1">
      <c r="B35" s="1208"/>
      <c r="C35" s="1206"/>
      <c r="D35" s="323" t="s">
        <v>740</v>
      </c>
      <c r="E35" s="323" t="s">
        <v>719</v>
      </c>
      <c r="F35" s="323" t="s">
        <v>731</v>
      </c>
      <c r="G35" s="330">
        <v>1000000</v>
      </c>
    </row>
    <row r="36" spans="2:11" ht="15" customHeight="1" thickBot="1">
      <c r="B36" s="1214"/>
      <c r="C36" s="1215"/>
      <c r="D36" s="404" t="s">
        <v>741</v>
      </c>
      <c r="E36" s="404" t="s">
        <v>719</v>
      </c>
      <c r="F36" s="404" t="s">
        <v>731</v>
      </c>
      <c r="G36" s="405">
        <v>3000000</v>
      </c>
      <c r="K36" s="304"/>
    </row>
    <row r="37" spans="2:7" ht="15" customHeight="1" thickBot="1">
      <c r="B37" s="299"/>
      <c r="C37" s="291"/>
      <c r="D37" s="292" t="s">
        <v>9</v>
      </c>
      <c r="E37" s="406"/>
      <c r="F37" s="293"/>
      <c r="G37" s="396">
        <f>SUM(G28:G36)</f>
        <v>14194077</v>
      </c>
    </row>
    <row r="38" spans="2:10" ht="15" customHeight="1">
      <c r="B38" s="1207">
        <v>5</v>
      </c>
      <c r="C38" s="1205" t="s">
        <v>749</v>
      </c>
      <c r="D38" s="399" t="s">
        <v>750</v>
      </c>
      <c r="E38" s="399" t="s">
        <v>719</v>
      </c>
      <c r="F38" s="399" t="s">
        <v>719</v>
      </c>
      <c r="G38" s="400">
        <v>1000000</v>
      </c>
      <c r="J38" s="407"/>
    </row>
    <row r="39" spans="2:7" ht="15" customHeight="1" thickBot="1">
      <c r="B39" s="1214"/>
      <c r="C39" s="1215"/>
      <c r="D39" s="345"/>
      <c r="E39" s="345"/>
      <c r="F39" s="345"/>
      <c r="G39" s="408"/>
    </row>
    <row r="40" spans="2:7" ht="15" customHeight="1" thickBot="1">
      <c r="B40" s="284"/>
      <c r="C40" s="285"/>
      <c r="D40" s="298" t="s">
        <v>9</v>
      </c>
      <c r="E40" s="287"/>
      <c r="F40" s="287"/>
      <c r="G40" s="398">
        <f>SUM(G38:G39)</f>
        <v>1000000</v>
      </c>
    </row>
    <row r="41" spans="2:7" ht="15" customHeight="1" thickBot="1">
      <c r="B41" s="409"/>
      <c r="C41" s="410"/>
      <c r="D41" s="344"/>
      <c r="E41" s="345"/>
      <c r="F41" s="345"/>
      <c r="G41" s="411"/>
    </row>
    <row r="42" spans="2:7" ht="15" customHeight="1" thickBot="1">
      <c r="B42" s="284"/>
      <c r="C42" s="285"/>
      <c r="D42" s="298" t="s">
        <v>751</v>
      </c>
      <c r="E42" s="287"/>
      <c r="F42" s="287"/>
      <c r="G42" s="398">
        <f>SUM(G40,G12,G27,G37,G23)</f>
        <v>51594077</v>
      </c>
    </row>
    <row r="43" ht="15" customHeight="1">
      <c r="G43" s="412"/>
    </row>
    <row r="44" ht="15" customHeight="1">
      <c r="G44" s="374"/>
    </row>
    <row r="47" ht="15" customHeight="1">
      <c r="G47" s="407"/>
    </row>
  </sheetData>
  <sheetProtection/>
  <mergeCells count="12">
    <mergeCell ref="C28:C36"/>
    <mergeCell ref="B24:B26"/>
    <mergeCell ref="B6:B11"/>
    <mergeCell ref="C6:C11"/>
    <mergeCell ref="B38:B39"/>
    <mergeCell ref="C38:C39"/>
    <mergeCell ref="B1:H1"/>
    <mergeCell ref="B2:H2"/>
    <mergeCell ref="C3:H3"/>
    <mergeCell ref="B13:B22"/>
    <mergeCell ref="C13:C22"/>
    <mergeCell ref="B28:B3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J169"/>
  <sheetViews>
    <sheetView zoomScalePageLayoutView="0" workbookViewId="0" topLeftCell="A145">
      <selection activeCell="A158" sqref="A158:IV166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27.57421875" style="273" customWidth="1"/>
    <col min="4" max="4" width="62.421875" style="273" customWidth="1"/>
    <col min="5" max="5" width="16.00390625" style="273" customWidth="1"/>
    <col min="6" max="6" width="18.7109375" style="273" customWidth="1"/>
    <col min="7" max="7" width="19.421875" style="346" customWidth="1"/>
    <col min="8" max="8" width="9.140625" style="273" customWidth="1"/>
    <col min="9" max="9" width="12.00390625" style="346" bestFit="1" customWidth="1"/>
    <col min="10" max="16384" width="9.140625" style="273" customWidth="1"/>
  </cols>
  <sheetData>
    <row r="1" spans="2:7" ht="15" customHeight="1">
      <c r="B1" s="1209" t="s">
        <v>334</v>
      </c>
      <c r="C1" s="1209"/>
      <c r="D1" s="1209"/>
      <c r="E1" s="1209"/>
      <c r="F1" s="1209"/>
      <c r="G1" s="1209"/>
    </row>
    <row r="2" spans="2:7" ht="15" customHeight="1">
      <c r="B2" s="1210"/>
      <c r="C2" s="1210"/>
      <c r="D2" s="1210"/>
      <c r="E2" s="1210"/>
      <c r="F2" s="1210"/>
      <c r="G2" s="1210"/>
    </row>
    <row r="3" spans="2:7" ht="15" customHeight="1">
      <c r="B3" s="274"/>
      <c r="C3" s="1211" t="s">
        <v>955</v>
      </c>
      <c r="D3" s="1211"/>
      <c r="E3" s="1211"/>
      <c r="F3" s="1211"/>
      <c r="G3" s="1211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16">
        <v>1</v>
      </c>
      <c r="C6" s="1216" t="s">
        <v>367</v>
      </c>
      <c r="D6" s="295" t="s">
        <v>664</v>
      </c>
      <c r="E6" s="295" t="s">
        <v>654</v>
      </c>
      <c r="F6" s="295" t="s">
        <v>665</v>
      </c>
      <c r="G6" s="303">
        <f>ILLERET!G6</f>
        <v>6000000</v>
      </c>
    </row>
    <row r="7" spans="2:7" ht="15" customHeight="1">
      <c r="B7" s="1206"/>
      <c r="C7" s="1206"/>
      <c r="D7" s="321" t="s">
        <v>938</v>
      </c>
      <c r="E7" s="280" t="s">
        <v>918</v>
      </c>
      <c r="F7" s="280" t="s">
        <v>918</v>
      </c>
      <c r="G7" s="358">
        <f>'NORTH HORR'!G6</f>
        <v>6600000</v>
      </c>
    </row>
    <row r="8" spans="2:7" ht="15" customHeight="1">
      <c r="B8" s="1206"/>
      <c r="C8" s="1206"/>
      <c r="D8" s="323" t="s">
        <v>941</v>
      </c>
      <c r="E8" s="280" t="s">
        <v>918</v>
      </c>
      <c r="F8" s="280" t="s">
        <v>918</v>
      </c>
      <c r="G8" s="330">
        <f>'NORTH HORR'!G7</f>
        <v>3000000</v>
      </c>
    </row>
    <row r="9" spans="2:7" ht="15" customHeight="1" thickBot="1">
      <c r="B9" s="1206"/>
      <c r="C9" s="1245"/>
      <c r="D9" s="326"/>
      <c r="E9" s="326"/>
      <c r="F9" s="326"/>
      <c r="G9" s="342"/>
    </row>
    <row r="10" spans="2:7" ht="12.75" thickBot="1">
      <c r="B10" s="285"/>
      <c r="C10" s="285"/>
      <c r="D10" s="298" t="s">
        <v>9</v>
      </c>
      <c r="E10" s="287"/>
      <c r="F10" s="287"/>
      <c r="G10" s="328">
        <f>SUM(G6:G9)</f>
        <v>15600000</v>
      </c>
    </row>
    <row r="11" spans="2:7" ht="15" customHeight="1">
      <c r="B11" s="1207">
        <v>2</v>
      </c>
      <c r="C11" s="1205" t="s">
        <v>404</v>
      </c>
      <c r="D11" s="256" t="s">
        <v>640</v>
      </c>
      <c r="E11" s="176" t="s">
        <v>594</v>
      </c>
      <c r="F11" s="248"/>
      <c r="G11" s="248"/>
    </row>
    <row r="12" spans="2:7" ht="15" customHeight="1">
      <c r="B12" s="1208"/>
      <c r="C12" s="1206"/>
      <c r="D12" s="257" t="s">
        <v>641</v>
      </c>
      <c r="E12" s="176" t="s">
        <v>594</v>
      </c>
      <c r="F12" s="248" t="s">
        <v>595</v>
      </c>
      <c r="G12" s="258">
        <f>'DUKANA '!G7</f>
        <v>500000</v>
      </c>
    </row>
    <row r="13" spans="2:7" ht="15" customHeight="1">
      <c r="B13" s="1208"/>
      <c r="C13" s="1206"/>
      <c r="D13" s="257" t="s">
        <v>642</v>
      </c>
      <c r="E13" s="176" t="s">
        <v>594</v>
      </c>
      <c r="F13" s="248" t="s">
        <v>595</v>
      </c>
      <c r="G13" s="258">
        <f>'DUKANA '!G8</f>
        <v>500000</v>
      </c>
    </row>
    <row r="14" spans="2:7" ht="15" customHeight="1">
      <c r="B14" s="1208"/>
      <c r="C14" s="1206"/>
      <c r="D14" s="257" t="s">
        <v>597</v>
      </c>
      <c r="E14" s="176" t="s">
        <v>594</v>
      </c>
      <c r="F14" s="248" t="s">
        <v>595</v>
      </c>
      <c r="G14" s="258">
        <f>'DUKANA '!G9</f>
        <v>500000</v>
      </c>
    </row>
    <row r="15" spans="2:7" ht="15" customHeight="1">
      <c r="B15" s="1208"/>
      <c r="C15" s="1206"/>
      <c r="D15" s="295" t="s">
        <v>653</v>
      </c>
      <c r="E15" s="295" t="s">
        <v>654</v>
      </c>
      <c r="F15" s="295" t="s">
        <v>655</v>
      </c>
      <c r="G15" s="303">
        <f>ILLERET!G9</f>
        <v>7500000</v>
      </c>
    </row>
    <row r="16" spans="2:7" ht="15" customHeight="1">
      <c r="B16" s="1208"/>
      <c r="C16" s="1206"/>
      <c r="D16" s="295" t="s">
        <v>656</v>
      </c>
      <c r="E16" s="295" t="s">
        <v>654</v>
      </c>
      <c r="F16" s="295" t="s">
        <v>654</v>
      </c>
      <c r="G16" s="303">
        <f>ILLERET!G10</f>
        <v>7000000</v>
      </c>
    </row>
    <row r="17" spans="2:7" ht="15" customHeight="1">
      <c r="B17" s="1208"/>
      <c r="C17" s="1206"/>
      <c r="D17" s="339" t="s">
        <v>657</v>
      </c>
      <c r="E17" s="295" t="s">
        <v>654</v>
      </c>
      <c r="F17" s="295" t="s">
        <v>658</v>
      </c>
      <c r="G17" s="303">
        <f>ILLERET!G11</f>
        <v>2000000</v>
      </c>
    </row>
    <row r="18" spans="2:7" ht="15" customHeight="1">
      <c r="B18" s="1208"/>
      <c r="C18" s="1206"/>
      <c r="D18" s="429" t="s">
        <v>926</v>
      </c>
      <c r="E18" s="311" t="s">
        <v>918</v>
      </c>
      <c r="F18" s="310" t="s">
        <v>919</v>
      </c>
      <c r="G18" s="303">
        <f>'NORTH HORR'!G10</f>
        <v>1500000</v>
      </c>
    </row>
    <row r="19" spans="2:7" ht="15" customHeight="1">
      <c r="B19" s="1208"/>
      <c r="C19" s="1206"/>
      <c r="D19" s="429" t="s">
        <v>927</v>
      </c>
      <c r="E19" s="311" t="s">
        <v>918</v>
      </c>
      <c r="F19" s="310" t="s">
        <v>920</v>
      </c>
      <c r="G19" s="303">
        <f>'NORTH HORR'!G11</f>
        <v>1500000</v>
      </c>
    </row>
    <row r="20" spans="2:7" ht="15" customHeight="1">
      <c r="B20" s="1208"/>
      <c r="C20" s="1206"/>
      <c r="D20" s="429" t="s">
        <v>928</v>
      </c>
      <c r="E20" s="311" t="s">
        <v>918</v>
      </c>
      <c r="F20" s="310" t="s">
        <v>581</v>
      </c>
      <c r="G20" s="303">
        <f>'NORTH HORR'!G12</f>
        <v>1500000</v>
      </c>
    </row>
    <row r="21" spans="2:7" ht="15" customHeight="1">
      <c r="B21" s="1208"/>
      <c r="C21" s="1206"/>
      <c r="D21" s="429" t="s">
        <v>928</v>
      </c>
      <c r="E21" s="311" t="s">
        <v>918</v>
      </c>
      <c r="F21" s="310" t="s">
        <v>921</v>
      </c>
      <c r="G21" s="303">
        <f>'NORTH HORR'!G13</f>
        <v>1500000</v>
      </c>
    </row>
    <row r="22" spans="2:7" ht="15" customHeight="1">
      <c r="B22" s="1208"/>
      <c r="C22" s="1206"/>
      <c r="D22" s="429" t="s">
        <v>928</v>
      </c>
      <c r="E22" s="311" t="s">
        <v>918</v>
      </c>
      <c r="F22" s="310" t="s">
        <v>922</v>
      </c>
      <c r="G22" s="303">
        <f>'NORTH HORR'!G14</f>
        <v>1500000</v>
      </c>
    </row>
    <row r="23" spans="2:7" ht="15" customHeight="1">
      <c r="B23" s="1208"/>
      <c r="C23" s="1206"/>
      <c r="D23" s="429" t="s">
        <v>929</v>
      </c>
      <c r="E23" s="311" t="s">
        <v>918</v>
      </c>
      <c r="F23" s="310" t="s">
        <v>923</v>
      </c>
      <c r="G23" s="303">
        <f>'NORTH HORR'!G15</f>
        <v>1500000</v>
      </c>
    </row>
    <row r="24" spans="2:7" ht="15" customHeight="1">
      <c r="B24" s="1208"/>
      <c r="C24" s="1206"/>
      <c r="D24" s="429" t="s">
        <v>930</v>
      </c>
      <c r="E24" s="311" t="s">
        <v>918</v>
      </c>
      <c r="F24" s="310" t="s">
        <v>924</v>
      </c>
      <c r="G24" s="303">
        <f>'NORTH HORR'!G16</f>
        <v>1500000</v>
      </c>
    </row>
    <row r="25" spans="2:7" ht="15" customHeight="1">
      <c r="B25" s="1208"/>
      <c r="C25" s="1206"/>
      <c r="D25" s="429" t="s">
        <v>930</v>
      </c>
      <c r="E25" s="311" t="s">
        <v>918</v>
      </c>
      <c r="F25" s="310" t="s">
        <v>925</v>
      </c>
      <c r="G25" s="303">
        <f>'NORTH HORR'!G17</f>
        <v>1500000</v>
      </c>
    </row>
    <row r="26" spans="2:7" ht="15" customHeight="1">
      <c r="B26" s="1208"/>
      <c r="C26" s="1206"/>
      <c r="D26" s="429" t="s">
        <v>931</v>
      </c>
      <c r="E26" s="311" t="s">
        <v>918</v>
      </c>
      <c r="F26" s="310" t="s">
        <v>923</v>
      </c>
      <c r="G26" s="303">
        <f>'NORTH HORR'!G18</f>
        <v>2000000</v>
      </c>
    </row>
    <row r="27" spans="2:7" ht="15" customHeight="1">
      <c r="B27" s="1208"/>
      <c r="C27" s="1206"/>
      <c r="D27" s="429" t="s">
        <v>928</v>
      </c>
      <c r="E27" s="311" t="s">
        <v>918</v>
      </c>
      <c r="F27" s="295"/>
      <c r="G27" s="303">
        <f>'NORTH HORR'!G19</f>
        <v>1500000</v>
      </c>
    </row>
    <row r="28" spans="2:7" ht="15" customHeight="1">
      <c r="B28" s="1208"/>
      <c r="C28" s="1206"/>
      <c r="D28" s="430" t="s">
        <v>932</v>
      </c>
      <c r="E28" s="311" t="s">
        <v>918</v>
      </c>
      <c r="F28" s="295"/>
      <c r="G28" s="303">
        <f>'NORTH HORR'!G20</f>
        <v>2300000</v>
      </c>
    </row>
    <row r="29" spans="2:7" ht="15" customHeight="1">
      <c r="B29" s="1208"/>
      <c r="C29" s="1206"/>
      <c r="D29" s="323" t="s">
        <v>744</v>
      </c>
      <c r="E29" s="321" t="s">
        <v>719</v>
      </c>
      <c r="F29" s="322" t="s">
        <v>720</v>
      </c>
      <c r="G29" s="322">
        <f>TURBI!G6</f>
        <v>3850000</v>
      </c>
    </row>
    <row r="30" spans="2:7" ht="15" customHeight="1">
      <c r="B30" s="1208"/>
      <c r="C30" s="1206"/>
      <c r="D30" s="321" t="s">
        <v>745</v>
      </c>
      <c r="E30" s="323" t="s">
        <v>719</v>
      </c>
      <c r="F30" s="329" t="s">
        <v>720</v>
      </c>
      <c r="G30" s="329">
        <f>TURBI!G7</f>
        <v>1100000</v>
      </c>
    </row>
    <row r="31" spans="2:7" ht="15" customHeight="1">
      <c r="B31" s="1208"/>
      <c r="C31" s="1206"/>
      <c r="D31" s="321" t="s">
        <v>746</v>
      </c>
      <c r="E31" s="323" t="s">
        <v>719</v>
      </c>
      <c r="F31" s="329" t="s">
        <v>720</v>
      </c>
      <c r="G31" s="329">
        <f>TURBI!G8</f>
        <v>500000</v>
      </c>
    </row>
    <row r="32" spans="2:7" ht="15" customHeight="1">
      <c r="B32" s="1208"/>
      <c r="C32" s="1206"/>
      <c r="D32" s="321" t="s">
        <v>747</v>
      </c>
      <c r="E32" s="323" t="s">
        <v>719</v>
      </c>
      <c r="F32" s="329" t="s">
        <v>719</v>
      </c>
      <c r="G32" s="329">
        <f>TURBI!G9</f>
        <v>2000000</v>
      </c>
    </row>
    <row r="33" spans="2:7" ht="15" customHeight="1" thickBot="1">
      <c r="B33" s="1208"/>
      <c r="C33" s="1206"/>
      <c r="D33" s="323" t="s">
        <v>748</v>
      </c>
      <c r="E33" s="326" t="s">
        <v>719</v>
      </c>
      <c r="F33" s="342" t="s">
        <v>731</v>
      </c>
      <c r="G33" s="342">
        <f>TURBI!G10</f>
        <v>1000000</v>
      </c>
    </row>
    <row r="34" spans="2:7" ht="15" customHeight="1" thickBot="1">
      <c r="B34" s="285"/>
      <c r="C34" s="285"/>
      <c r="D34" s="298" t="s">
        <v>9</v>
      </c>
      <c r="E34" s="287"/>
      <c r="F34" s="287"/>
      <c r="G34" s="328">
        <f>SUM(G11:G33)</f>
        <v>44250000</v>
      </c>
    </row>
    <row r="35" spans="2:7" ht="15" customHeight="1">
      <c r="B35" s="1207">
        <v>3</v>
      </c>
      <c r="C35" s="1205" t="s">
        <v>0</v>
      </c>
      <c r="D35" s="256" t="s">
        <v>592</v>
      </c>
      <c r="E35" s="167"/>
      <c r="F35" s="163"/>
      <c r="G35" s="165"/>
    </row>
    <row r="36" spans="2:7" ht="15" customHeight="1">
      <c r="B36" s="1208"/>
      <c r="C36" s="1206"/>
      <c r="D36" s="431" t="s">
        <v>593</v>
      </c>
      <c r="E36" s="167" t="s">
        <v>594</v>
      </c>
      <c r="F36" s="202" t="s">
        <v>595</v>
      </c>
      <c r="G36" s="212">
        <f>'DUKANA '!G13</f>
        <v>1000000</v>
      </c>
    </row>
    <row r="37" spans="2:7" ht="15" customHeight="1">
      <c r="B37" s="1208"/>
      <c r="C37" s="1206"/>
      <c r="D37" s="431" t="s">
        <v>596</v>
      </c>
      <c r="E37" s="167" t="s">
        <v>594</v>
      </c>
      <c r="F37" s="202" t="s">
        <v>595</v>
      </c>
      <c r="G37" s="212">
        <f>'DUKANA '!G14</f>
        <v>1000000</v>
      </c>
    </row>
    <row r="38" spans="2:7" ht="15" customHeight="1">
      <c r="B38" s="1208"/>
      <c r="C38" s="1206"/>
      <c r="D38" s="431" t="s">
        <v>597</v>
      </c>
      <c r="E38" s="167" t="s">
        <v>594</v>
      </c>
      <c r="F38" s="202" t="s">
        <v>595</v>
      </c>
      <c r="G38" s="212">
        <f>'DUKANA '!G16</f>
        <v>500000</v>
      </c>
    </row>
    <row r="39" spans="2:7" ht="15" customHeight="1">
      <c r="B39" s="1208"/>
      <c r="C39" s="1206"/>
      <c r="D39" s="431" t="s">
        <v>598</v>
      </c>
      <c r="E39" s="167" t="s">
        <v>594</v>
      </c>
      <c r="F39" s="202" t="s">
        <v>595</v>
      </c>
      <c r="G39" s="212">
        <v>500000</v>
      </c>
    </row>
    <row r="40" spans="2:7" ht="15" customHeight="1">
      <c r="B40" s="1208"/>
      <c r="C40" s="1206"/>
      <c r="D40" s="431" t="s">
        <v>599</v>
      </c>
      <c r="E40" s="167" t="s">
        <v>594</v>
      </c>
      <c r="F40" s="202" t="s">
        <v>595</v>
      </c>
      <c r="G40" s="212">
        <f>'DUKANA '!G17</f>
        <v>500000</v>
      </c>
    </row>
    <row r="41" spans="2:7" ht="15" customHeight="1">
      <c r="B41" s="1208"/>
      <c r="C41" s="1206"/>
      <c r="D41" s="431" t="s">
        <v>600</v>
      </c>
      <c r="E41" s="167" t="s">
        <v>594</v>
      </c>
      <c r="F41" s="202" t="s">
        <v>595</v>
      </c>
      <c r="G41" s="212">
        <f>'DUKANA '!G18</f>
        <v>2500000</v>
      </c>
    </row>
    <row r="42" spans="2:7" ht="15" customHeight="1">
      <c r="B42" s="1208"/>
      <c r="C42" s="1206"/>
      <c r="D42" s="431" t="s">
        <v>601</v>
      </c>
      <c r="E42" s="167" t="s">
        <v>594</v>
      </c>
      <c r="F42" s="202" t="s">
        <v>595</v>
      </c>
      <c r="G42" s="212">
        <f>'DUKANA '!G19</f>
        <v>500000</v>
      </c>
    </row>
    <row r="43" spans="2:7" ht="15" customHeight="1">
      <c r="B43" s="1208"/>
      <c r="C43" s="1206"/>
      <c r="D43" s="431" t="s">
        <v>602</v>
      </c>
      <c r="E43" s="167" t="s">
        <v>594</v>
      </c>
      <c r="F43" s="202" t="s">
        <v>595</v>
      </c>
      <c r="G43" s="212">
        <f>'DUKANA '!G20</f>
        <v>1000000</v>
      </c>
    </row>
    <row r="44" spans="2:7" ht="15" customHeight="1">
      <c r="B44" s="1208"/>
      <c r="C44" s="1206"/>
      <c r="D44" s="164" t="s">
        <v>603</v>
      </c>
      <c r="E44" s="167" t="s">
        <v>594</v>
      </c>
      <c r="F44" s="202" t="s">
        <v>595</v>
      </c>
      <c r="G44" s="212"/>
    </row>
    <row r="45" spans="2:7" ht="15" customHeight="1">
      <c r="B45" s="1208"/>
      <c r="C45" s="1206"/>
      <c r="D45" s="431" t="s">
        <v>604</v>
      </c>
      <c r="E45" s="167" t="s">
        <v>594</v>
      </c>
      <c r="F45" s="202" t="s">
        <v>595</v>
      </c>
      <c r="G45" s="212">
        <f>'DUKANA '!G22</f>
        <v>500000</v>
      </c>
    </row>
    <row r="46" spans="2:7" ht="15" customHeight="1">
      <c r="B46" s="1208"/>
      <c r="C46" s="1206"/>
      <c r="D46" s="431" t="s">
        <v>605</v>
      </c>
      <c r="E46" s="167" t="s">
        <v>594</v>
      </c>
      <c r="F46" s="202" t="s">
        <v>595</v>
      </c>
      <c r="G46" s="212">
        <f>'DUKANA '!G23</f>
        <v>500000</v>
      </c>
    </row>
    <row r="47" spans="2:7" ht="15" customHeight="1">
      <c r="B47" s="1208"/>
      <c r="C47" s="1206"/>
      <c r="D47" s="431" t="s">
        <v>599</v>
      </c>
      <c r="E47" s="167" t="s">
        <v>594</v>
      </c>
      <c r="F47" s="202" t="s">
        <v>595</v>
      </c>
      <c r="G47" s="212">
        <f>'DUKANA '!G31</f>
        <v>500000</v>
      </c>
    </row>
    <row r="48" spans="2:7" ht="15" customHeight="1">
      <c r="B48" s="1208"/>
      <c r="C48" s="1206"/>
      <c r="D48" s="431" t="s">
        <v>606</v>
      </c>
      <c r="E48" s="167" t="s">
        <v>594</v>
      </c>
      <c r="F48" s="202" t="s">
        <v>595</v>
      </c>
      <c r="G48" s="212">
        <f>'DUKANA '!G25</f>
        <v>500000</v>
      </c>
    </row>
    <row r="49" spans="2:7" ht="15" customHeight="1">
      <c r="B49" s="1208"/>
      <c r="C49" s="1206"/>
      <c r="D49" s="167" t="s">
        <v>607</v>
      </c>
      <c r="E49" s="167" t="s">
        <v>594</v>
      </c>
      <c r="F49" s="173" t="s">
        <v>608</v>
      </c>
      <c r="G49" s="212">
        <f>'DUKANA '!G26</f>
        <v>300000</v>
      </c>
    </row>
    <row r="50" spans="2:7" ht="15" customHeight="1">
      <c r="B50" s="1208"/>
      <c r="C50" s="1206"/>
      <c r="D50" s="164" t="s">
        <v>609</v>
      </c>
      <c r="E50" s="167" t="s">
        <v>594</v>
      </c>
      <c r="F50" s="173" t="s">
        <v>610</v>
      </c>
      <c r="G50" s="212"/>
    </row>
    <row r="51" spans="2:7" ht="15" customHeight="1">
      <c r="B51" s="1208"/>
      <c r="C51" s="1206"/>
      <c r="D51" s="431" t="s">
        <v>593</v>
      </c>
      <c r="E51" s="167" t="s">
        <v>594</v>
      </c>
      <c r="F51" s="173" t="s">
        <v>610</v>
      </c>
      <c r="G51" s="212">
        <f>'DUKANA '!G28</f>
        <v>500000</v>
      </c>
    </row>
    <row r="52" spans="2:7" ht="15" customHeight="1">
      <c r="B52" s="1208"/>
      <c r="C52" s="1206"/>
      <c r="D52" s="431" t="s">
        <v>611</v>
      </c>
      <c r="E52" s="167" t="s">
        <v>594</v>
      </c>
      <c r="F52" s="173" t="s">
        <v>610</v>
      </c>
      <c r="G52" s="212">
        <f>'DUKANA '!G29</f>
        <v>500000</v>
      </c>
    </row>
    <row r="53" spans="2:7" ht="15" customHeight="1">
      <c r="B53" s="1208"/>
      <c r="C53" s="1206"/>
      <c r="D53" s="431" t="s">
        <v>598</v>
      </c>
      <c r="E53" s="167" t="s">
        <v>594</v>
      </c>
      <c r="F53" s="173" t="s">
        <v>610</v>
      </c>
      <c r="G53" s="212">
        <f>'DUKANA '!G30</f>
        <v>500000</v>
      </c>
    </row>
    <row r="54" spans="2:7" ht="15" customHeight="1">
      <c r="B54" s="1208"/>
      <c r="C54" s="1206"/>
      <c r="D54" s="431" t="s">
        <v>599</v>
      </c>
      <c r="E54" s="167" t="s">
        <v>594</v>
      </c>
      <c r="F54" s="173" t="s">
        <v>610</v>
      </c>
      <c r="G54" s="212">
        <f>'DUKANA '!G31</f>
        <v>500000</v>
      </c>
    </row>
    <row r="55" spans="2:7" ht="15" customHeight="1">
      <c r="B55" s="1208"/>
      <c r="C55" s="1206"/>
      <c r="D55" s="431" t="s">
        <v>612</v>
      </c>
      <c r="E55" s="167" t="s">
        <v>594</v>
      </c>
      <c r="F55" s="173" t="s">
        <v>610</v>
      </c>
      <c r="G55" s="212">
        <f>'DUKANA '!G32</f>
        <v>500000</v>
      </c>
    </row>
    <row r="56" spans="2:7" ht="15" customHeight="1">
      <c r="B56" s="1208"/>
      <c r="C56" s="1206"/>
      <c r="D56" s="167" t="s">
        <v>613</v>
      </c>
      <c r="E56" s="167" t="s">
        <v>594</v>
      </c>
      <c r="F56" s="173" t="s">
        <v>614</v>
      </c>
      <c r="G56" s="212"/>
    </row>
    <row r="57" spans="2:7" ht="15" customHeight="1">
      <c r="B57" s="1208"/>
      <c r="C57" s="1206"/>
      <c r="D57" s="431" t="s">
        <v>604</v>
      </c>
      <c r="E57" s="167" t="s">
        <v>594</v>
      </c>
      <c r="F57" s="173" t="s">
        <v>614</v>
      </c>
      <c r="G57" s="212">
        <f>'DUKANA '!G34</f>
        <v>1000000</v>
      </c>
    </row>
    <row r="58" spans="2:7" ht="15" customHeight="1">
      <c r="B58" s="1208"/>
      <c r="C58" s="1206"/>
      <c r="D58" s="431" t="s">
        <v>615</v>
      </c>
      <c r="E58" s="167" t="s">
        <v>594</v>
      </c>
      <c r="F58" s="173" t="s">
        <v>614</v>
      </c>
      <c r="G58" s="212">
        <f>'DUKANA '!G35</f>
        <v>500000</v>
      </c>
    </row>
    <row r="59" spans="2:7" ht="15" customHeight="1">
      <c r="B59" s="1208"/>
      <c r="C59" s="1206"/>
      <c r="D59" s="167" t="s">
        <v>616</v>
      </c>
      <c r="E59" s="167" t="s">
        <v>594</v>
      </c>
      <c r="F59" s="173" t="s">
        <v>614</v>
      </c>
      <c r="G59" s="212"/>
    </row>
    <row r="60" spans="2:7" ht="15" customHeight="1">
      <c r="B60" s="1208"/>
      <c r="C60" s="1206"/>
      <c r="D60" s="431" t="s">
        <v>604</v>
      </c>
      <c r="E60" s="167" t="s">
        <v>594</v>
      </c>
      <c r="F60" s="173" t="s">
        <v>614</v>
      </c>
      <c r="G60" s="212">
        <f>'DUKANA '!G37</f>
        <v>500000</v>
      </c>
    </row>
    <row r="61" spans="2:7" ht="15" customHeight="1">
      <c r="B61" s="1208"/>
      <c r="C61" s="1206"/>
      <c r="D61" s="431" t="s">
        <v>598</v>
      </c>
      <c r="E61" s="167" t="s">
        <v>594</v>
      </c>
      <c r="F61" s="173" t="s">
        <v>614</v>
      </c>
      <c r="G61" s="212">
        <f>'DUKANA '!G38</f>
        <v>500000</v>
      </c>
    </row>
    <row r="62" spans="2:7" ht="15" customHeight="1">
      <c r="B62" s="1208"/>
      <c r="C62" s="1206"/>
      <c r="D62" s="431" t="s">
        <v>597</v>
      </c>
      <c r="E62" s="167" t="s">
        <v>594</v>
      </c>
      <c r="F62" s="173" t="s">
        <v>614</v>
      </c>
      <c r="G62" s="212">
        <f>'DUKANA '!G39</f>
        <v>500000</v>
      </c>
    </row>
    <row r="63" spans="2:7" ht="15" customHeight="1">
      <c r="B63" s="1208"/>
      <c r="C63" s="1206"/>
      <c r="D63" s="167" t="s">
        <v>617</v>
      </c>
      <c r="E63" s="167" t="s">
        <v>594</v>
      </c>
      <c r="F63" s="173" t="s">
        <v>614</v>
      </c>
      <c r="G63" s="212">
        <f>'DUKANA '!G40</f>
        <v>7300000</v>
      </c>
    </row>
    <row r="64" spans="2:7" ht="15" customHeight="1">
      <c r="B64" s="1208"/>
      <c r="C64" s="1206"/>
      <c r="D64" s="167" t="s">
        <v>671</v>
      </c>
      <c r="E64" s="167" t="s">
        <v>682</v>
      </c>
      <c r="F64" s="167" t="s">
        <v>672</v>
      </c>
      <c r="G64" s="236">
        <v>2500000</v>
      </c>
    </row>
    <row r="65" spans="2:7" ht="15" customHeight="1">
      <c r="B65" s="1208"/>
      <c r="C65" s="1206"/>
      <c r="D65" s="167" t="s">
        <v>673</v>
      </c>
      <c r="E65" s="167" t="s">
        <v>682</v>
      </c>
      <c r="F65" s="167" t="s">
        <v>674</v>
      </c>
      <c r="G65" s="236">
        <v>4000000</v>
      </c>
    </row>
    <row r="66" spans="2:7" ht="15" customHeight="1">
      <c r="B66" s="1208"/>
      <c r="C66" s="1206"/>
      <c r="D66" s="167" t="s">
        <v>675</v>
      </c>
      <c r="E66" s="167" t="s">
        <v>682</v>
      </c>
      <c r="F66" s="167" t="s">
        <v>676</v>
      </c>
      <c r="G66" s="236">
        <v>1000000</v>
      </c>
    </row>
    <row r="67" spans="2:7" ht="15" customHeight="1">
      <c r="B67" s="1208"/>
      <c r="C67" s="1206"/>
      <c r="D67" s="167" t="s">
        <v>677</v>
      </c>
      <c r="E67" s="167" t="s">
        <v>682</v>
      </c>
      <c r="F67" s="167" t="s">
        <v>678</v>
      </c>
      <c r="G67" s="236">
        <v>1000000</v>
      </c>
    </row>
    <row r="68" spans="2:7" ht="15" customHeight="1">
      <c r="B68" s="1208"/>
      <c r="C68" s="1206"/>
      <c r="D68" s="167" t="s">
        <v>679</v>
      </c>
      <c r="E68" s="167" t="s">
        <v>682</v>
      </c>
      <c r="F68" s="167" t="s">
        <v>680</v>
      </c>
      <c r="G68" s="236">
        <v>1500000</v>
      </c>
    </row>
    <row r="69" spans="2:7" ht="15" customHeight="1">
      <c r="B69" s="1208"/>
      <c r="C69" s="1206"/>
      <c r="D69" s="354" t="s">
        <v>944</v>
      </c>
      <c r="E69" s="280" t="s">
        <v>918</v>
      </c>
      <c r="F69" s="321" t="s">
        <v>714</v>
      </c>
      <c r="G69" s="358">
        <v>2000000</v>
      </c>
    </row>
    <row r="70" spans="2:7" ht="15" customHeight="1">
      <c r="B70" s="1208"/>
      <c r="C70" s="1206"/>
      <c r="D70" s="324" t="s">
        <v>945</v>
      </c>
      <c r="E70" s="280" t="s">
        <v>918</v>
      </c>
      <c r="F70" s="323" t="s">
        <v>715</v>
      </c>
      <c r="G70" s="330">
        <v>2000000</v>
      </c>
    </row>
    <row r="71" spans="2:7" ht="15" customHeight="1">
      <c r="B71" s="1208"/>
      <c r="C71" s="1206"/>
      <c r="D71" s="323" t="s">
        <v>718</v>
      </c>
      <c r="E71" s="323" t="s">
        <v>719</v>
      </c>
      <c r="F71" s="323" t="s">
        <v>720</v>
      </c>
      <c r="G71" s="330">
        <v>2800000</v>
      </c>
    </row>
    <row r="72" spans="2:7" ht="15" customHeight="1">
      <c r="B72" s="1208"/>
      <c r="C72" s="1206"/>
      <c r="D72" s="323" t="s">
        <v>721</v>
      </c>
      <c r="E72" s="323" t="s">
        <v>719</v>
      </c>
      <c r="F72" s="323" t="s">
        <v>720</v>
      </c>
      <c r="G72" s="330">
        <v>550000</v>
      </c>
    </row>
    <row r="73" spans="2:7" ht="15" customHeight="1">
      <c r="B73" s="1208"/>
      <c r="C73" s="1206"/>
      <c r="D73" s="326" t="s">
        <v>722</v>
      </c>
      <c r="E73" s="326" t="s">
        <v>719</v>
      </c>
      <c r="F73" s="326" t="s">
        <v>720</v>
      </c>
      <c r="G73" s="327">
        <v>2000000</v>
      </c>
    </row>
    <row r="74" spans="2:7" ht="15" customHeight="1">
      <c r="B74" s="1208"/>
      <c r="C74" s="1206"/>
      <c r="D74" s="326" t="s">
        <v>723</v>
      </c>
      <c r="E74" s="326" t="s">
        <v>719</v>
      </c>
      <c r="F74" s="326" t="s">
        <v>719</v>
      </c>
      <c r="G74" s="327">
        <v>2000000</v>
      </c>
    </row>
    <row r="75" spans="2:7" ht="15" customHeight="1">
      <c r="B75" s="1208"/>
      <c r="C75" s="1206"/>
      <c r="D75" s="326" t="s">
        <v>724</v>
      </c>
      <c r="E75" s="326" t="s">
        <v>719</v>
      </c>
      <c r="F75" s="326" t="s">
        <v>719</v>
      </c>
      <c r="G75" s="327">
        <v>800000</v>
      </c>
    </row>
    <row r="76" spans="2:7" ht="15" customHeight="1">
      <c r="B76" s="1208"/>
      <c r="C76" s="1206"/>
      <c r="D76" s="326" t="s">
        <v>725</v>
      </c>
      <c r="E76" s="326" t="s">
        <v>719</v>
      </c>
      <c r="F76" s="326" t="s">
        <v>719</v>
      </c>
      <c r="G76" s="327">
        <v>1500000</v>
      </c>
    </row>
    <row r="77" spans="2:7" ht="15" customHeight="1">
      <c r="B77" s="1208"/>
      <c r="C77" s="1206"/>
      <c r="D77" s="326" t="s">
        <v>726</v>
      </c>
      <c r="E77" s="326" t="s">
        <v>719</v>
      </c>
      <c r="F77" s="326" t="s">
        <v>727</v>
      </c>
      <c r="G77" s="327">
        <v>1500000</v>
      </c>
    </row>
    <row r="78" spans="2:7" ht="15" customHeight="1">
      <c r="B78" s="1208"/>
      <c r="C78" s="1206"/>
      <c r="D78" s="326" t="s">
        <v>728</v>
      </c>
      <c r="E78" s="326" t="s">
        <v>719</v>
      </c>
      <c r="F78" s="326" t="s">
        <v>729</v>
      </c>
      <c r="G78" s="327">
        <v>2800000</v>
      </c>
    </row>
    <row r="79" spans="2:7" ht="15" customHeight="1">
      <c r="B79" s="1208"/>
      <c r="C79" s="1206"/>
      <c r="D79" s="326" t="s">
        <v>730</v>
      </c>
      <c r="E79" s="326" t="s">
        <v>719</v>
      </c>
      <c r="F79" s="326" t="s">
        <v>731</v>
      </c>
      <c r="G79" s="327">
        <v>1500000</v>
      </c>
    </row>
    <row r="80" spans="2:7" ht="15" customHeight="1" thickBot="1">
      <c r="B80" s="1208"/>
      <c r="C80" s="1206"/>
      <c r="D80" s="326" t="s">
        <v>732</v>
      </c>
      <c r="E80" s="326" t="s">
        <v>719</v>
      </c>
      <c r="F80" s="326" t="s">
        <v>731</v>
      </c>
      <c r="G80" s="327">
        <v>4500000</v>
      </c>
    </row>
    <row r="81" spans="2:7" ht="15" customHeight="1" thickBot="1">
      <c r="B81" s="332"/>
      <c r="C81" s="291"/>
      <c r="D81" s="292" t="s">
        <v>9</v>
      </c>
      <c r="E81" s="293"/>
      <c r="F81" s="293"/>
      <c r="G81" s="333">
        <f>SUM(G35:G80)</f>
        <v>56550000</v>
      </c>
    </row>
    <row r="82" spans="2:7" ht="15" customHeight="1">
      <c r="B82" s="1243">
        <v>4</v>
      </c>
      <c r="C82" s="1205" t="s">
        <v>848</v>
      </c>
      <c r="D82" s="176" t="s">
        <v>646</v>
      </c>
      <c r="E82" s="176" t="s">
        <v>594</v>
      </c>
      <c r="F82" s="176"/>
      <c r="G82" s="248"/>
    </row>
    <row r="83" spans="2:7" ht="15" customHeight="1">
      <c r="B83" s="1246"/>
      <c r="C83" s="1206"/>
      <c r="D83" s="431" t="s">
        <v>599</v>
      </c>
      <c r="E83" s="176" t="s">
        <v>594</v>
      </c>
      <c r="F83" s="176" t="s">
        <v>608</v>
      </c>
      <c r="G83" s="258">
        <v>1000000</v>
      </c>
    </row>
    <row r="84" spans="2:7" ht="15" customHeight="1">
      <c r="B84" s="1246"/>
      <c r="C84" s="1206"/>
      <c r="D84" s="431" t="s">
        <v>611</v>
      </c>
      <c r="E84" s="176" t="s">
        <v>594</v>
      </c>
      <c r="F84" s="176" t="s">
        <v>608</v>
      </c>
      <c r="G84" s="258">
        <v>500000</v>
      </c>
    </row>
    <row r="85" spans="2:7" ht="15" customHeight="1">
      <c r="B85" s="1246"/>
      <c r="C85" s="1206"/>
      <c r="D85" s="295" t="s">
        <v>666</v>
      </c>
      <c r="E85" s="295" t="s">
        <v>654</v>
      </c>
      <c r="F85" s="295" t="s">
        <v>654</v>
      </c>
      <c r="G85" s="303">
        <v>1500000</v>
      </c>
    </row>
    <row r="86" spans="2:7" ht="15" customHeight="1" thickBot="1">
      <c r="B86" s="1246"/>
      <c r="C86" s="1206"/>
      <c r="D86" s="336"/>
      <c r="E86" s="337"/>
      <c r="F86" s="337"/>
      <c r="G86" s="338"/>
    </row>
    <row r="87" spans="2:7" ht="15" customHeight="1" thickBot="1">
      <c r="B87" s="291"/>
      <c r="C87" s="293"/>
      <c r="D87" s="292" t="s">
        <v>9</v>
      </c>
      <c r="E87" s="293"/>
      <c r="F87" s="293"/>
      <c r="G87" s="333">
        <f>SUM(G82:G86)</f>
        <v>3000000</v>
      </c>
    </row>
    <row r="88" spans="2:7" ht="15" customHeight="1">
      <c r="B88" s="1207">
        <v>5</v>
      </c>
      <c r="C88" s="1205" t="s">
        <v>390</v>
      </c>
      <c r="D88" s="225" t="s">
        <v>649</v>
      </c>
      <c r="E88" s="176" t="s">
        <v>594</v>
      </c>
      <c r="F88" s="176" t="s">
        <v>608</v>
      </c>
      <c r="G88" s="248"/>
    </row>
    <row r="89" spans="2:7" ht="15" customHeight="1">
      <c r="B89" s="1208"/>
      <c r="C89" s="1206"/>
      <c r="D89" s="431" t="s">
        <v>599</v>
      </c>
      <c r="E89" s="176" t="s">
        <v>594</v>
      </c>
      <c r="F89" s="176" t="s">
        <v>608</v>
      </c>
      <c r="G89" s="258">
        <v>1000000</v>
      </c>
    </row>
    <row r="90" spans="2:7" ht="15" customHeight="1">
      <c r="B90" s="1208"/>
      <c r="C90" s="1206"/>
      <c r="D90" s="431" t="s">
        <v>611</v>
      </c>
      <c r="E90" s="176" t="s">
        <v>594</v>
      </c>
      <c r="F90" s="176" t="s">
        <v>608</v>
      </c>
      <c r="G90" s="258">
        <v>500000</v>
      </c>
    </row>
    <row r="91" spans="2:7" ht="15" customHeight="1" thickBot="1">
      <c r="B91" s="1208"/>
      <c r="C91" s="1206"/>
      <c r="D91" s="339"/>
      <c r="E91" s="339"/>
      <c r="F91" s="339"/>
      <c r="G91" s="340"/>
    </row>
    <row r="92" spans="2:7" ht="15" customHeight="1" thickBot="1">
      <c r="B92" s="291"/>
      <c r="C92" s="293"/>
      <c r="D92" s="292" t="s">
        <v>9</v>
      </c>
      <c r="E92" s="293"/>
      <c r="F92" s="293"/>
      <c r="G92" s="333">
        <f>SUM(G88:G91)</f>
        <v>1500000</v>
      </c>
    </row>
    <row r="93" spans="2:7" ht="15" customHeight="1">
      <c r="B93" s="1207">
        <v>6</v>
      </c>
      <c r="C93" s="1205" t="s">
        <v>399</v>
      </c>
      <c r="D93" s="295" t="s">
        <v>660</v>
      </c>
      <c r="E93" s="295" t="s">
        <v>654</v>
      </c>
      <c r="F93" s="295" t="s">
        <v>661</v>
      </c>
      <c r="G93" s="303">
        <v>10000000</v>
      </c>
    </row>
    <row r="94" spans="2:7" ht="15" customHeight="1">
      <c r="B94" s="1208"/>
      <c r="C94" s="1206"/>
      <c r="D94" s="295" t="s">
        <v>662</v>
      </c>
      <c r="E94" s="295" t="s">
        <v>654</v>
      </c>
      <c r="F94" s="295" t="s">
        <v>663</v>
      </c>
      <c r="G94" s="303">
        <v>8000000</v>
      </c>
    </row>
    <row r="95" spans="2:7" ht="15" customHeight="1">
      <c r="B95" s="1208"/>
      <c r="C95" s="1206"/>
      <c r="D95" s="167" t="s">
        <v>681</v>
      </c>
      <c r="E95" s="167" t="s">
        <v>682</v>
      </c>
      <c r="F95" s="167" t="s">
        <v>946</v>
      </c>
      <c r="G95" s="236">
        <v>4000000</v>
      </c>
    </row>
    <row r="96" spans="2:7" ht="15" customHeight="1">
      <c r="B96" s="1208"/>
      <c r="C96" s="1206"/>
      <c r="D96" s="167" t="s">
        <v>684</v>
      </c>
      <c r="E96" s="167" t="s">
        <v>682</v>
      </c>
      <c r="F96" s="167" t="s">
        <v>947</v>
      </c>
      <c r="G96" s="236">
        <v>2500000</v>
      </c>
    </row>
    <row r="97" spans="2:7" ht="15" customHeight="1">
      <c r="B97" s="1208"/>
      <c r="C97" s="1206"/>
      <c r="D97" s="187" t="s">
        <v>686</v>
      </c>
      <c r="E97" s="167" t="s">
        <v>682</v>
      </c>
      <c r="F97" s="187" t="s">
        <v>687</v>
      </c>
      <c r="G97" s="255">
        <v>4000000</v>
      </c>
    </row>
    <row r="98" spans="2:7" ht="15" customHeight="1">
      <c r="B98" s="1208"/>
      <c r="C98" s="1206"/>
      <c r="D98" s="399" t="s">
        <v>948</v>
      </c>
      <c r="E98" s="280" t="s">
        <v>918</v>
      </c>
      <c r="F98" s="399" t="s">
        <v>950</v>
      </c>
      <c r="G98" s="436">
        <v>4000000</v>
      </c>
    </row>
    <row r="99" spans="2:7" ht="15" customHeight="1">
      <c r="B99" s="1208"/>
      <c r="C99" s="1206"/>
      <c r="D99" s="295" t="s">
        <v>949</v>
      </c>
      <c r="E99" s="280" t="s">
        <v>918</v>
      </c>
      <c r="F99" s="295" t="s">
        <v>921</v>
      </c>
      <c r="G99" s="303">
        <v>2304601</v>
      </c>
    </row>
    <row r="100" spans="2:7" ht="15" customHeight="1">
      <c r="B100" s="1208"/>
      <c r="C100" s="1206"/>
      <c r="D100" s="354" t="s">
        <v>742</v>
      </c>
      <c r="E100" s="321" t="s">
        <v>719</v>
      </c>
      <c r="F100" s="321" t="s">
        <v>720</v>
      </c>
      <c r="G100" s="358">
        <v>4000000</v>
      </c>
    </row>
    <row r="101" spans="2:7" ht="15" customHeight="1" thickBot="1">
      <c r="B101" s="1214"/>
      <c r="C101" s="1215"/>
      <c r="D101" s="324" t="s">
        <v>743</v>
      </c>
      <c r="E101" s="323" t="s">
        <v>719</v>
      </c>
      <c r="F101" s="323" t="s">
        <v>731</v>
      </c>
      <c r="G101" s="330">
        <v>4000000</v>
      </c>
    </row>
    <row r="102" spans="2:7" ht="15" customHeight="1" thickBot="1">
      <c r="B102" s="285"/>
      <c r="C102" s="285"/>
      <c r="D102" s="298" t="s">
        <v>9</v>
      </c>
      <c r="E102" s="287"/>
      <c r="F102" s="287"/>
      <c r="G102" s="328">
        <f>SUM(G93:G101)</f>
        <v>42804601</v>
      </c>
    </row>
    <row r="103" spans="2:7" ht="15" customHeight="1">
      <c r="B103" s="1207">
        <v>7</v>
      </c>
      <c r="C103" s="1205" t="s">
        <v>346</v>
      </c>
      <c r="D103" s="256" t="s">
        <v>618</v>
      </c>
      <c r="E103" s="200" t="s">
        <v>594</v>
      </c>
      <c r="F103" s="200"/>
      <c r="G103" s="215"/>
    </row>
    <row r="104" spans="2:7" ht="15" customHeight="1">
      <c r="B104" s="1208"/>
      <c r="C104" s="1206"/>
      <c r="D104" s="431" t="s">
        <v>619</v>
      </c>
      <c r="E104" s="167" t="s">
        <v>594</v>
      </c>
      <c r="F104" s="167" t="s">
        <v>608</v>
      </c>
      <c r="G104" s="212">
        <v>200000</v>
      </c>
    </row>
    <row r="105" spans="2:7" ht="15" customHeight="1">
      <c r="B105" s="1208"/>
      <c r="C105" s="1206"/>
      <c r="D105" s="431" t="s">
        <v>620</v>
      </c>
      <c r="E105" s="167" t="s">
        <v>594</v>
      </c>
      <c r="F105" s="167" t="s">
        <v>608</v>
      </c>
      <c r="G105" s="212">
        <v>2806621</v>
      </c>
    </row>
    <row r="106" spans="2:7" ht="15" customHeight="1">
      <c r="B106" s="1208"/>
      <c r="C106" s="1206"/>
      <c r="D106" s="164" t="s">
        <v>621</v>
      </c>
      <c r="E106" s="167" t="s">
        <v>594</v>
      </c>
      <c r="F106" s="167"/>
      <c r="G106" s="434"/>
    </row>
    <row r="107" spans="2:7" ht="15" customHeight="1">
      <c r="B107" s="1208"/>
      <c r="C107" s="1206"/>
      <c r="D107" s="431" t="s">
        <v>622</v>
      </c>
      <c r="E107" s="167" t="s">
        <v>594</v>
      </c>
      <c r="F107" s="167" t="s">
        <v>610</v>
      </c>
      <c r="G107" s="212">
        <v>1000000</v>
      </c>
    </row>
    <row r="108" spans="2:7" ht="15" customHeight="1">
      <c r="B108" s="1208"/>
      <c r="C108" s="1206"/>
      <c r="D108" s="431" t="s">
        <v>623</v>
      </c>
      <c r="E108" s="167" t="s">
        <v>594</v>
      </c>
      <c r="F108" s="167" t="s">
        <v>610</v>
      </c>
      <c r="G108" s="212">
        <v>2000000</v>
      </c>
    </row>
    <row r="109" spans="2:7" ht="15" customHeight="1">
      <c r="B109" s="1208"/>
      <c r="C109" s="1206"/>
      <c r="D109" s="431" t="s">
        <v>624</v>
      </c>
      <c r="E109" s="167" t="s">
        <v>594</v>
      </c>
      <c r="F109" s="167" t="s">
        <v>610</v>
      </c>
      <c r="G109" s="212">
        <v>2000000</v>
      </c>
    </row>
    <row r="110" spans="2:7" ht="15" customHeight="1">
      <c r="B110" s="1208"/>
      <c r="C110" s="1206"/>
      <c r="D110" s="164" t="s">
        <v>625</v>
      </c>
      <c r="E110" s="167" t="s">
        <v>594</v>
      </c>
      <c r="F110" s="167"/>
      <c r="G110" s="434"/>
    </row>
    <row r="111" spans="2:7" ht="15" customHeight="1">
      <c r="B111" s="1208"/>
      <c r="C111" s="1206"/>
      <c r="D111" s="431" t="s">
        <v>626</v>
      </c>
      <c r="E111" s="167" t="s">
        <v>594</v>
      </c>
      <c r="F111" s="167" t="s">
        <v>627</v>
      </c>
      <c r="G111" s="212">
        <v>1000000</v>
      </c>
    </row>
    <row r="112" spans="2:7" ht="15" customHeight="1">
      <c r="B112" s="1208"/>
      <c r="C112" s="1206"/>
      <c r="D112" s="431" t="s">
        <v>628</v>
      </c>
      <c r="E112" s="167" t="s">
        <v>594</v>
      </c>
      <c r="F112" s="167" t="s">
        <v>627</v>
      </c>
      <c r="G112" s="212">
        <v>6000000</v>
      </c>
    </row>
    <row r="113" spans="2:7" ht="15" customHeight="1">
      <c r="B113" s="1208"/>
      <c r="C113" s="1206"/>
      <c r="D113" s="164" t="s">
        <v>629</v>
      </c>
      <c r="E113" s="167" t="s">
        <v>594</v>
      </c>
      <c r="F113" s="167"/>
      <c r="G113" s="434"/>
    </row>
    <row r="114" spans="2:7" ht="15" customHeight="1">
      <c r="B114" s="1208"/>
      <c r="C114" s="1206"/>
      <c r="D114" s="167" t="s">
        <v>630</v>
      </c>
      <c r="E114" s="167" t="s">
        <v>594</v>
      </c>
      <c r="F114" s="167" t="s">
        <v>614</v>
      </c>
      <c r="G114" s="212">
        <v>1000000</v>
      </c>
    </row>
    <row r="115" spans="2:7" ht="15" customHeight="1">
      <c r="B115" s="1208"/>
      <c r="C115" s="1206"/>
      <c r="D115" s="167" t="s">
        <v>631</v>
      </c>
      <c r="E115" s="167" t="s">
        <v>594</v>
      </c>
      <c r="F115" s="167" t="s">
        <v>614</v>
      </c>
      <c r="G115" s="212">
        <v>2000000</v>
      </c>
    </row>
    <row r="116" spans="2:7" ht="15" customHeight="1">
      <c r="B116" s="1208"/>
      <c r="C116" s="1206"/>
      <c r="D116" s="167" t="s">
        <v>632</v>
      </c>
      <c r="E116" s="167" t="s">
        <v>594</v>
      </c>
      <c r="F116" s="167" t="s">
        <v>627</v>
      </c>
      <c r="G116" s="212">
        <v>500000</v>
      </c>
    </row>
    <row r="117" spans="2:7" ht="15" customHeight="1">
      <c r="B117" s="1208"/>
      <c r="C117" s="1206"/>
      <c r="D117" s="167" t="s">
        <v>633</v>
      </c>
      <c r="E117" s="167" t="s">
        <v>594</v>
      </c>
      <c r="F117" s="167" t="s">
        <v>634</v>
      </c>
      <c r="G117" s="212">
        <v>2500000</v>
      </c>
    </row>
    <row r="118" spans="2:7" ht="15" customHeight="1">
      <c r="B118" s="1208"/>
      <c r="C118" s="1206"/>
      <c r="D118" s="167" t="s">
        <v>635</v>
      </c>
      <c r="E118" s="167" t="s">
        <v>594</v>
      </c>
      <c r="F118" s="167" t="s">
        <v>636</v>
      </c>
      <c r="G118" s="212">
        <v>500000</v>
      </c>
    </row>
    <row r="119" spans="2:7" ht="15" customHeight="1">
      <c r="B119" s="1208"/>
      <c r="C119" s="1206"/>
      <c r="D119" s="167" t="s">
        <v>637</v>
      </c>
      <c r="E119" s="167" t="s">
        <v>594</v>
      </c>
      <c r="F119" s="167" t="s">
        <v>614</v>
      </c>
      <c r="G119" s="212">
        <v>500000</v>
      </c>
    </row>
    <row r="120" spans="2:7" ht="15" customHeight="1">
      <c r="B120" s="1208"/>
      <c r="C120" s="1206"/>
      <c r="D120" s="167" t="s">
        <v>638</v>
      </c>
      <c r="E120" s="167" t="s">
        <v>594</v>
      </c>
      <c r="F120" s="167" t="s">
        <v>639</v>
      </c>
      <c r="G120" s="212">
        <v>12000000</v>
      </c>
    </row>
    <row r="121" spans="2:7" ht="15" customHeight="1">
      <c r="B121" s="1208"/>
      <c r="C121" s="1206"/>
      <c r="D121" s="167" t="s">
        <v>689</v>
      </c>
      <c r="E121" s="167" t="s">
        <v>682</v>
      </c>
      <c r="F121" s="167" t="s">
        <v>682</v>
      </c>
      <c r="G121" s="169">
        <v>500000</v>
      </c>
    </row>
    <row r="122" spans="2:7" ht="15" customHeight="1">
      <c r="B122" s="1208"/>
      <c r="C122" s="1206"/>
      <c r="D122" s="167" t="s">
        <v>690</v>
      </c>
      <c r="E122" s="167" t="s">
        <v>682</v>
      </c>
      <c r="F122" s="167" t="s">
        <v>691</v>
      </c>
      <c r="G122" s="236">
        <v>3000000</v>
      </c>
    </row>
    <row r="123" spans="2:7" ht="15" customHeight="1">
      <c r="B123" s="1208"/>
      <c r="C123" s="1206"/>
      <c r="D123" s="167" t="s">
        <v>692</v>
      </c>
      <c r="E123" s="176" t="s">
        <v>682</v>
      </c>
      <c r="F123" s="167" t="s">
        <v>947</v>
      </c>
      <c r="G123" s="236">
        <v>2500000</v>
      </c>
    </row>
    <row r="124" spans="2:7" ht="15" customHeight="1">
      <c r="B124" s="1208"/>
      <c r="C124" s="1206"/>
      <c r="D124" s="167" t="s">
        <v>693</v>
      </c>
      <c r="E124" s="176" t="s">
        <v>682</v>
      </c>
      <c r="F124" s="167" t="s">
        <v>694</v>
      </c>
      <c r="G124" s="236">
        <v>1500000</v>
      </c>
    </row>
    <row r="125" spans="2:7" ht="15" customHeight="1">
      <c r="B125" s="1208"/>
      <c r="C125" s="1206"/>
      <c r="D125" s="170" t="s">
        <v>695</v>
      </c>
      <c r="E125" s="176" t="s">
        <v>682</v>
      </c>
      <c r="F125" s="170" t="s">
        <v>696</v>
      </c>
      <c r="G125" s="242">
        <v>4000000</v>
      </c>
    </row>
    <row r="126" spans="2:7" ht="15" customHeight="1">
      <c r="B126" s="1208"/>
      <c r="C126" s="1206"/>
      <c r="D126" s="170" t="s">
        <v>697</v>
      </c>
      <c r="E126" s="176" t="s">
        <v>682</v>
      </c>
      <c r="F126" s="170" t="s">
        <v>698</v>
      </c>
      <c r="G126" s="242">
        <v>2000000</v>
      </c>
    </row>
    <row r="127" spans="2:7" ht="15" customHeight="1">
      <c r="B127" s="1208"/>
      <c r="C127" s="1206"/>
      <c r="D127" s="170" t="s">
        <v>699</v>
      </c>
      <c r="E127" s="176" t="s">
        <v>682</v>
      </c>
      <c r="F127" s="170" t="s">
        <v>698</v>
      </c>
      <c r="G127" s="242">
        <v>3000000</v>
      </c>
    </row>
    <row r="128" spans="2:7" ht="15" customHeight="1">
      <c r="B128" s="1208"/>
      <c r="C128" s="1206"/>
      <c r="D128" s="170" t="s">
        <v>700</v>
      </c>
      <c r="E128" s="176" t="s">
        <v>682</v>
      </c>
      <c r="F128" s="170" t="s">
        <v>946</v>
      </c>
      <c r="G128" s="242">
        <v>6000000</v>
      </c>
    </row>
    <row r="129" spans="2:7" ht="15" customHeight="1">
      <c r="B129" s="1208"/>
      <c r="C129" s="1206"/>
      <c r="D129" s="170" t="s">
        <v>701</v>
      </c>
      <c r="E129" s="176" t="s">
        <v>682</v>
      </c>
      <c r="F129" s="170" t="s">
        <v>946</v>
      </c>
      <c r="G129" s="242">
        <v>2000000</v>
      </c>
    </row>
    <row r="130" spans="2:7" ht="15" customHeight="1">
      <c r="B130" s="1208"/>
      <c r="C130" s="1206"/>
      <c r="D130" s="170" t="s">
        <v>702</v>
      </c>
      <c r="E130" s="176" t="s">
        <v>682</v>
      </c>
      <c r="F130" s="170" t="s">
        <v>703</v>
      </c>
      <c r="G130" s="242">
        <v>8000000</v>
      </c>
    </row>
    <row r="131" spans="2:7" ht="15" customHeight="1">
      <c r="B131" s="1208"/>
      <c r="C131" s="1206"/>
      <c r="D131" s="170" t="s">
        <v>704</v>
      </c>
      <c r="E131" s="176" t="s">
        <v>682</v>
      </c>
      <c r="F131" s="170" t="s">
        <v>705</v>
      </c>
      <c r="G131" s="242">
        <v>1700000</v>
      </c>
    </row>
    <row r="132" spans="2:7" ht="15" customHeight="1">
      <c r="B132" s="1208"/>
      <c r="C132" s="1206"/>
      <c r="D132" s="170" t="s">
        <v>692</v>
      </c>
      <c r="E132" s="176" t="s">
        <v>682</v>
      </c>
      <c r="F132" s="170" t="s">
        <v>698</v>
      </c>
      <c r="G132" s="242">
        <v>1100000</v>
      </c>
    </row>
    <row r="133" spans="2:7" ht="15" customHeight="1">
      <c r="B133" s="1208"/>
      <c r="C133" s="1206"/>
      <c r="D133" s="170" t="s">
        <v>706</v>
      </c>
      <c r="E133" s="176" t="s">
        <v>682</v>
      </c>
      <c r="F133" s="170" t="s">
        <v>707</v>
      </c>
      <c r="G133" s="242">
        <v>2500000</v>
      </c>
    </row>
    <row r="134" spans="2:7" ht="15" customHeight="1">
      <c r="B134" s="1208"/>
      <c r="C134" s="1206"/>
      <c r="D134" s="170" t="s">
        <v>708</v>
      </c>
      <c r="E134" s="176" t="s">
        <v>682</v>
      </c>
      <c r="F134" s="170" t="s">
        <v>698</v>
      </c>
      <c r="G134" s="242">
        <v>3000000</v>
      </c>
    </row>
    <row r="135" spans="2:7" ht="15" customHeight="1">
      <c r="B135" s="1208"/>
      <c r="C135" s="1206"/>
      <c r="D135" s="187" t="s">
        <v>709</v>
      </c>
      <c r="E135" s="200" t="s">
        <v>682</v>
      </c>
      <c r="F135" s="187" t="s">
        <v>698</v>
      </c>
      <c r="G135" s="255">
        <v>1500000</v>
      </c>
    </row>
    <row r="136" spans="2:7" ht="15" customHeight="1">
      <c r="B136" s="1208"/>
      <c r="C136" s="1206"/>
      <c r="D136" s="422" t="s">
        <v>933</v>
      </c>
      <c r="E136" s="311" t="s">
        <v>918</v>
      </c>
      <c r="F136" s="422" t="s">
        <v>921</v>
      </c>
      <c r="G136" s="330">
        <v>3000000</v>
      </c>
    </row>
    <row r="137" spans="2:7" ht="15" customHeight="1">
      <c r="B137" s="1208"/>
      <c r="C137" s="1206"/>
      <c r="D137" s="422" t="s">
        <v>934</v>
      </c>
      <c r="E137" s="311" t="s">
        <v>918</v>
      </c>
      <c r="F137" s="422" t="s">
        <v>939</v>
      </c>
      <c r="G137" s="330">
        <v>3000000</v>
      </c>
    </row>
    <row r="138" spans="2:7" ht="15" customHeight="1">
      <c r="B138" s="1208"/>
      <c r="C138" s="1206"/>
      <c r="D138" s="422" t="s">
        <v>933</v>
      </c>
      <c r="E138" s="311" t="s">
        <v>918</v>
      </c>
      <c r="F138" s="422" t="s">
        <v>940</v>
      </c>
      <c r="G138" s="330">
        <v>3900000</v>
      </c>
    </row>
    <row r="139" spans="2:7" ht="15" customHeight="1">
      <c r="B139" s="1208"/>
      <c r="C139" s="1206"/>
      <c r="D139" s="422" t="s">
        <v>935</v>
      </c>
      <c r="E139" s="311" t="s">
        <v>918</v>
      </c>
      <c r="F139" s="422" t="s">
        <v>919</v>
      </c>
      <c r="G139" s="330">
        <v>1700000</v>
      </c>
    </row>
    <row r="140" spans="2:7" ht="15" customHeight="1">
      <c r="B140" s="1208"/>
      <c r="C140" s="1206"/>
      <c r="D140" s="422" t="s">
        <v>936</v>
      </c>
      <c r="E140" s="311" t="s">
        <v>918</v>
      </c>
      <c r="F140" s="422" t="s">
        <v>918</v>
      </c>
      <c r="G140" s="330">
        <v>3900000</v>
      </c>
    </row>
    <row r="141" spans="2:7" ht="15" customHeight="1">
      <c r="B141" s="1208"/>
      <c r="C141" s="1206"/>
      <c r="D141" s="422" t="s">
        <v>937</v>
      </c>
      <c r="E141" s="311" t="s">
        <v>918</v>
      </c>
      <c r="F141" s="422" t="s">
        <v>918</v>
      </c>
      <c r="G141" s="330">
        <v>3600000</v>
      </c>
    </row>
    <row r="142" spans="2:7" ht="15" customHeight="1">
      <c r="B142" s="1208"/>
      <c r="C142" s="1206"/>
      <c r="D142" s="323" t="s">
        <v>733</v>
      </c>
      <c r="E142" s="323" t="s">
        <v>719</v>
      </c>
      <c r="F142" s="323" t="s">
        <v>720</v>
      </c>
      <c r="G142" s="330">
        <v>1200000</v>
      </c>
    </row>
    <row r="143" spans="2:7" ht="15" customHeight="1">
      <c r="B143" s="1208"/>
      <c r="C143" s="1206"/>
      <c r="D143" s="323" t="s">
        <v>734</v>
      </c>
      <c r="E143" s="323" t="s">
        <v>719</v>
      </c>
      <c r="F143" s="323" t="s">
        <v>720</v>
      </c>
      <c r="G143" s="330">
        <v>500000</v>
      </c>
    </row>
    <row r="144" spans="2:7" ht="15" customHeight="1">
      <c r="B144" s="1208"/>
      <c r="C144" s="1206"/>
      <c r="D144" s="323" t="s">
        <v>735</v>
      </c>
      <c r="E144" s="323" t="s">
        <v>719</v>
      </c>
      <c r="F144" s="323" t="s">
        <v>720</v>
      </c>
      <c r="G144" s="330">
        <v>2500000</v>
      </c>
    </row>
    <row r="145" spans="2:7" ht="15" customHeight="1">
      <c r="B145" s="1208"/>
      <c r="C145" s="1206"/>
      <c r="D145" s="323" t="s">
        <v>736</v>
      </c>
      <c r="E145" s="323" t="s">
        <v>719</v>
      </c>
      <c r="F145" s="323" t="s">
        <v>727</v>
      </c>
      <c r="G145" s="330">
        <v>1500000</v>
      </c>
    </row>
    <row r="146" spans="2:7" ht="15" customHeight="1">
      <c r="B146" s="1208"/>
      <c r="C146" s="1206"/>
      <c r="D146" s="323" t="s">
        <v>737</v>
      </c>
      <c r="E146" s="323" t="s">
        <v>719</v>
      </c>
      <c r="F146" s="323" t="s">
        <v>729</v>
      </c>
      <c r="G146" s="330">
        <v>3000000</v>
      </c>
    </row>
    <row r="147" spans="2:7" ht="15" customHeight="1">
      <c r="B147" s="1208"/>
      <c r="C147" s="1206"/>
      <c r="D147" s="323" t="s">
        <v>738</v>
      </c>
      <c r="E147" s="323" t="s">
        <v>719</v>
      </c>
      <c r="F147" s="323" t="s">
        <v>719</v>
      </c>
      <c r="G147" s="330">
        <v>1000000</v>
      </c>
    </row>
    <row r="148" spans="2:7" ht="15" customHeight="1">
      <c r="B148" s="1208"/>
      <c r="C148" s="1206"/>
      <c r="D148" s="323" t="s">
        <v>739</v>
      </c>
      <c r="E148" s="323" t="s">
        <v>719</v>
      </c>
      <c r="F148" s="323" t="s">
        <v>731</v>
      </c>
      <c r="G148" s="330">
        <f>300000+194077</f>
        <v>494077</v>
      </c>
    </row>
    <row r="149" spans="2:7" ht="15" customHeight="1">
      <c r="B149" s="1208"/>
      <c r="C149" s="1206"/>
      <c r="D149" s="323" t="s">
        <v>740</v>
      </c>
      <c r="E149" s="323" t="s">
        <v>719</v>
      </c>
      <c r="F149" s="323" t="s">
        <v>731</v>
      </c>
      <c r="G149" s="330">
        <v>1000000</v>
      </c>
    </row>
    <row r="150" spans="2:7" ht="15" customHeight="1">
      <c r="B150" s="1208"/>
      <c r="C150" s="1206"/>
      <c r="D150" s="323" t="s">
        <v>741</v>
      </c>
      <c r="E150" s="323" t="s">
        <v>719</v>
      </c>
      <c r="F150" s="323" t="s">
        <v>731</v>
      </c>
      <c r="G150" s="330">
        <v>3000000</v>
      </c>
    </row>
    <row r="151" spans="2:7" ht="15" customHeight="1" thickBot="1">
      <c r="B151" s="1214"/>
      <c r="C151" s="1215"/>
      <c r="D151" s="323"/>
      <c r="E151" s="323"/>
      <c r="F151" s="323"/>
      <c r="G151" s="329"/>
    </row>
    <row r="152" spans="2:7" ht="15" customHeight="1" thickBot="1">
      <c r="B152" s="291"/>
      <c r="C152" s="291"/>
      <c r="D152" s="292" t="s">
        <v>9</v>
      </c>
      <c r="E152" s="293"/>
      <c r="F152" s="293"/>
      <c r="G152" s="343">
        <f>SUM(G103:G151)</f>
        <v>109600698</v>
      </c>
    </row>
    <row r="153" spans="2:7" ht="15" customHeight="1">
      <c r="B153" s="1207">
        <v>8</v>
      </c>
      <c r="C153" s="1205" t="s">
        <v>190</v>
      </c>
      <c r="D153" s="225" t="s">
        <v>644</v>
      </c>
      <c r="E153" s="176" t="s">
        <v>594</v>
      </c>
      <c r="F153" s="176"/>
      <c r="G153" s="248"/>
    </row>
    <row r="154" spans="2:7" ht="15" customHeight="1">
      <c r="B154" s="1259"/>
      <c r="C154" s="1259"/>
      <c r="D154" s="431" t="s">
        <v>597</v>
      </c>
      <c r="E154" s="176" t="s">
        <v>594</v>
      </c>
      <c r="F154" s="176" t="s">
        <v>608</v>
      </c>
      <c r="G154" s="258">
        <v>500000</v>
      </c>
    </row>
    <row r="155" spans="2:7" ht="15" customHeight="1">
      <c r="B155" s="1259"/>
      <c r="C155" s="1259"/>
      <c r="D155" s="431" t="s">
        <v>645</v>
      </c>
      <c r="E155" s="176" t="s">
        <v>594</v>
      </c>
      <c r="F155" s="176" t="s">
        <v>608</v>
      </c>
      <c r="G155" s="212">
        <v>500000</v>
      </c>
    </row>
    <row r="156" spans="2:7" ht="15" customHeight="1" thickBot="1">
      <c r="B156" s="1260"/>
      <c r="C156" s="1260"/>
      <c r="D156" s="257"/>
      <c r="E156" s="176"/>
      <c r="F156" s="176"/>
      <c r="G156" s="258"/>
    </row>
    <row r="157" spans="2:7" ht="15" customHeight="1" thickBot="1">
      <c r="B157" s="285"/>
      <c r="C157" s="285"/>
      <c r="D157" s="298" t="s">
        <v>9</v>
      </c>
      <c r="E157" s="287"/>
      <c r="F157" s="287"/>
      <c r="G157" s="328">
        <f>SUM(G153:G156)</f>
        <v>1000000</v>
      </c>
    </row>
    <row r="158" spans="2:9" s="1" customFormat="1" ht="15" customHeight="1">
      <c r="B158" s="1207">
        <v>9</v>
      </c>
      <c r="C158" s="1205" t="s">
        <v>406</v>
      </c>
      <c r="D158" s="435" t="s">
        <v>648</v>
      </c>
      <c r="E158" s="176" t="s">
        <v>594</v>
      </c>
      <c r="F158" s="176"/>
      <c r="G158" s="248"/>
      <c r="I158" s="4"/>
    </row>
    <row r="159" spans="2:9" s="1" customFormat="1" ht="15" customHeight="1">
      <c r="B159" s="1208"/>
      <c r="C159" s="1259"/>
      <c r="D159" s="431" t="s">
        <v>599</v>
      </c>
      <c r="E159" s="176" t="s">
        <v>594</v>
      </c>
      <c r="F159" s="176" t="s">
        <v>608</v>
      </c>
      <c r="G159" s="212">
        <v>1000000</v>
      </c>
      <c r="I159" s="4"/>
    </row>
    <row r="160" spans="2:10" s="1" customFormat="1" ht="15" customHeight="1">
      <c r="B160" s="1208"/>
      <c r="C160" s="1259"/>
      <c r="D160" s="431" t="s">
        <v>641</v>
      </c>
      <c r="E160" s="176" t="s">
        <v>594</v>
      </c>
      <c r="F160" s="176" t="s">
        <v>608</v>
      </c>
      <c r="G160" s="258">
        <v>500000</v>
      </c>
      <c r="I160" s="4"/>
      <c r="J160" s="250"/>
    </row>
    <row r="161" spans="2:9" s="1" customFormat="1" ht="15" customHeight="1">
      <c r="B161" s="1208"/>
      <c r="C161" s="1259"/>
      <c r="D161" s="295" t="s">
        <v>668</v>
      </c>
      <c r="E161" s="295" t="s">
        <v>654</v>
      </c>
      <c r="F161" s="295" t="s">
        <v>654</v>
      </c>
      <c r="G161" s="303">
        <v>2500000</v>
      </c>
      <c r="I161" s="4"/>
    </row>
    <row r="162" spans="2:7" ht="15" customHeight="1">
      <c r="B162" s="1208"/>
      <c r="C162" s="1259"/>
      <c r="D162" s="295" t="s">
        <v>669</v>
      </c>
      <c r="E162" s="295" t="s">
        <v>654</v>
      </c>
      <c r="F162" s="295" t="s">
        <v>654</v>
      </c>
      <c r="G162" s="303">
        <v>1500000</v>
      </c>
    </row>
    <row r="163" spans="2:7" ht="15" customHeight="1">
      <c r="B163" s="1208"/>
      <c r="C163" s="1259"/>
      <c r="D163" s="191" t="s">
        <v>710</v>
      </c>
      <c r="E163" s="191" t="s">
        <v>682</v>
      </c>
      <c r="F163" s="191" t="s">
        <v>685</v>
      </c>
      <c r="G163" s="432">
        <v>3600000</v>
      </c>
    </row>
    <row r="164" spans="2:7" ht="15" customHeight="1">
      <c r="B164" s="1208"/>
      <c r="C164" s="1259"/>
      <c r="D164" s="321" t="s">
        <v>951</v>
      </c>
      <c r="E164" s="280" t="s">
        <v>918</v>
      </c>
      <c r="F164" s="321" t="s">
        <v>715</v>
      </c>
      <c r="G164" s="358">
        <v>4900000</v>
      </c>
    </row>
    <row r="165" spans="2:7" ht="15" customHeight="1" thickBot="1">
      <c r="B165" s="1208"/>
      <c r="C165" s="1259"/>
      <c r="D165" s="345" t="s">
        <v>750</v>
      </c>
      <c r="E165" s="345" t="s">
        <v>719</v>
      </c>
      <c r="F165" s="345" t="s">
        <v>719</v>
      </c>
      <c r="G165" s="433">
        <v>1000000</v>
      </c>
    </row>
    <row r="166" spans="2:7" ht="15" customHeight="1" thickBot="1">
      <c r="B166" s="1208"/>
      <c r="C166" s="1259"/>
      <c r="D166" s="298" t="s">
        <v>9</v>
      </c>
      <c r="E166" s="287"/>
      <c r="F166" s="287"/>
      <c r="G166" s="328">
        <f>SUM(G159:G165)</f>
        <v>15000000</v>
      </c>
    </row>
    <row r="167" spans="2:7" ht="15" customHeight="1">
      <c r="B167" s="1208"/>
      <c r="C167" s="1259"/>
      <c r="D167" s="345"/>
      <c r="E167" s="345"/>
      <c r="F167" s="345"/>
      <c r="G167" s="433"/>
    </row>
    <row r="168" spans="2:7" ht="15" customHeight="1" thickBot="1">
      <c r="B168" s="1214"/>
      <c r="C168" s="1260"/>
      <c r="D168" s="323"/>
      <c r="E168" s="323"/>
      <c r="F168" s="323"/>
      <c r="G168" s="375"/>
    </row>
    <row r="169" spans="2:7" ht="15" customHeight="1" thickBot="1">
      <c r="B169" s="285"/>
      <c r="C169" s="285"/>
      <c r="D169" s="298" t="s">
        <v>954</v>
      </c>
      <c r="E169" s="287"/>
      <c r="F169" s="287"/>
      <c r="G169" s="328">
        <f>SUM(G166,G157,G152,G102,G92,G87,G81,G34,G10)</f>
        <v>289305299</v>
      </c>
    </row>
  </sheetData>
  <sheetProtection/>
  <mergeCells count="21">
    <mergeCell ref="B1:G1"/>
    <mergeCell ref="B2:G2"/>
    <mergeCell ref="C3:G3"/>
    <mergeCell ref="B6:B9"/>
    <mergeCell ref="C6:C9"/>
    <mergeCell ref="B11:B33"/>
    <mergeCell ref="C11:C33"/>
    <mergeCell ref="B35:B80"/>
    <mergeCell ref="C35:C80"/>
    <mergeCell ref="B82:B86"/>
    <mergeCell ref="C82:C86"/>
    <mergeCell ref="B88:B91"/>
    <mergeCell ref="C88:C91"/>
    <mergeCell ref="C153:C156"/>
    <mergeCell ref="C158:C168"/>
    <mergeCell ref="B158:B168"/>
    <mergeCell ref="B93:B101"/>
    <mergeCell ref="C93:C101"/>
    <mergeCell ref="B103:B151"/>
    <mergeCell ref="C103:C151"/>
    <mergeCell ref="B153:B1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9">
      <selection activeCell="D33" sqref="D33:G33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18.7109375" style="273" customWidth="1"/>
    <col min="4" max="4" width="79.28125" style="273" customWidth="1"/>
    <col min="5" max="5" width="16.00390625" style="273" customWidth="1"/>
    <col min="6" max="6" width="18.7109375" style="273" customWidth="1"/>
    <col min="7" max="7" width="15.421875" style="273" customWidth="1"/>
    <col min="8" max="8" width="12.00390625" style="273" customWidth="1"/>
    <col min="9" max="9" width="11.140625" style="273" customWidth="1"/>
    <col min="10" max="10" width="11.57421875" style="273" customWidth="1"/>
    <col min="11" max="16384" width="9.140625" style="273" customWidth="1"/>
  </cols>
  <sheetData>
    <row r="1" spans="2:7" ht="15" customHeight="1">
      <c r="B1" s="1209" t="s">
        <v>496</v>
      </c>
      <c r="C1" s="1209"/>
      <c r="D1" s="1209"/>
      <c r="E1" s="1209"/>
      <c r="F1" s="1209"/>
      <c r="G1" s="1209"/>
    </row>
    <row r="2" spans="2:7" ht="15" customHeight="1">
      <c r="B2" s="1209" t="s">
        <v>752</v>
      </c>
      <c r="C2" s="1209"/>
      <c r="D2" s="1209"/>
      <c r="E2" s="1209"/>
      <c r="F2" s="1209"/>
      <c r="G2" s="1209"/>
    </row>
    <row r="3" spans="2:7" ht="15" customHeight="1">
      <c r="B3" s="1209" t="s">
        <v>753</v>
      </c>
      <c r="C3" s="1209"/>
      <c r="D3" s="1209"/>
      <c r="E3" s="1209"/>
      <c r="F3" s="1209"/>
      <c r="G3" s="1209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56">
        <v>1</v>
      </c>
      <c r="C6" s="1216" t="s">
        <v>0</v>
      </c>
      <c r="D6" s="323" t="s">
        <v>754</v>
      </c>
      <c r="E6" s="323" t="s">
        <v>755</v>
      </c>
      <c r="F6" s="323" t="s">
        <v>755</v>
      </c>
      <c r="G6" s="329">
        <v>10000000</v>
      </c>
    </row>
    <row r="7" spans="2:7" ht="15" customHeight="1">
      <c r="B7" s="1257"/>
      <c r="C7" s="1206"/>
      <c r="D7" s="337" t="s">
        <v>756</v>
      </c>
      <c r="E7" s="323" t="s">
        <v>755</v>
      </c>
      <c r="F7" s="323" t="s">
        <v>757</v>
      </c>
      <c r="G7" s="413">
        <v>1720000</v>
      </c>
    </row>
    <row r="8" spans="2:8" ht="15" customHeight="1">
      <c r="B8" s="1257"/>
      <c r="C8" s="1206"/>
      <c r="D8" s="323" t="s">
        <v>758</v>
      </c>
      <c r="E8" s="323" t="s">
        <v>755</v>
      </c>
      <c r="F8" s="323" t="s">
        <v>757</v>
      </c>
      <c r="G8" s="329">
        <v>1500000</v>
      </c>
      <c r="H8" s="402"/>
    </row>
    <row r="9" spans="2:7" ht="15" customHeight="1">
      <c r="B9" s="1257"/>
      <c r="C9" s="1206"/>
      <c r="D9" s="337" t="s">
        <v>759</v>
      </c>
      <c r="E9" s="323" t="s">
        <v>755</v>
      </c>
      <c r="F9" s="323" t="s">
        <v>760</v>
      </c>
      <c r="G9" s="413">
        <v>2000000</v>
      </c>
    </row>
    <row r="10" spans="2:7" ht="15" customHeight="1">
      <c r="B10" s="1257"/>
      <c r="C10" s="1206"/>
      <c r="D10" s="323" t="s">
        <v>761</v>
      </c>
      <c r="E10" s="323" t="s">
        <v>755</v>
      </c>
      <c r="F10" s="323" t="s">
        <v>760</v>
      </c>
      <c r="G10" s="329">
        <v>2000000</v>
      </c>
    </row>
    <row r="11" spans="2:7" ht="15" customHeight="1" thickBot="1">
      <c r="B11" s="1257"/>
      <c r="C11" s="1206"/>
      <c r="D11" s="337" t="s">
        <v>762</v>
      </c>
      <c r="E11" s="323" t="s">
        <v>755</v>
      </c>
      <c r="F11" s="323" t="s">
        <v>760</v>
      </c>
      <c r="G11" s="413">
        <v>1320000</v>
      </c>
    </row>
    <row r="12" spans="2:7" ht="15" customHeight="1" thickBot="1">
      <c r="B12" s="290"/>
      <c r="C12" s="291"/>
      <c r="D12" s="292" t="s">
        <v>9</v>
      </c>
      <c r="E12" s="293"/>
      <c r="F12" s="293"/>
      <c r="G12" s="394">
        <f>SUM(G6:G11)</f>
        <v>18540000</v>
      </c>
    </row>
    <row r="13" spans="2:7" ht="15" customHeight="1">
      <c r="B13" s="1207">
        <v>2</v>
      </c>
      <c r="C13" s="1205" t="s">
        <v>508</v>
      </c>
      <c r="D13" s="323" t="s">
        <v>763</v>
      </c>
      <c r="E13" s="323" t="s">
        <v>755</v>
      </c>
      <c r="F13" s="323" t="s">
        <v>755</v>
      </c>
      <c r="G13" s="329">
        <v>1000000</v>
      </c>
    </row>
    <row r="14" spans="2:7" ht="15" customHeight="1">
      <c r="B14" s="1208"/>
      <c r="C14" s="1206"/>
      <c r="D14" s="337" t="s">
        <v>764</v>
      </c>
      <c r="E14" s="323" t="s">
        <v>755</v>
      </c>
      <c r="F14" s="323" t="s">
        <v>755</v>
      </c>
      <c r="G14" s="413">
        <v>1000000</v>
      </c>
    </row>
    <row r="15" spans="2:8" ht="15" customHeight="1">
      <c r="B15" s="1208"/>
      <c r="C15" s="1206"/>
      <c r="D15" s="323" t="s">
        <v>765</v>
      </c>
      <c r="E15" s="323" t="s">
        <v>755</v>
      </c>
      <c r="F15" s="323" t="s">
        <v>755</v>
      </c>
      <c r="G15" s="329">
        <f>1320000+31065</f>
        <v>1351065</v>
      </c>
      <c r="H15" s="304"/>
    </row>
    <row r="16" spans="2:7" ht="15" customHeight="1">
      <c r="B16" s="1208"/>
      <c r="C16" s="1206"/>
      <c r="D16" s="337" t="s">
        <v>766</v>
      </c>
      <c r="E16" s="323" t="s">
        <v>755</v>
      </c>
      <c r="F16" s="323" t="s">
        <v>757</v>
      </c>
      <c r="G16" s="413">
        <v>4600000</v>
      </c>
    </row>
    <row r="17" spans="2:7" ht="15" customHeight="1">
      <c r="B17" s="1208"/>
      <c r="C17" s="1206"/>
      <c r="D17" s="323" t="s">
        <v>767</v>
      </c>
      <c r="E17" s="323" t="s">
        <v>755</v>
      </c>
      <c r="F17" s="323" t="s">
        <v>757</v>
      </c>
      <c r="G17" s="329">
        <v>2500000</v>
      </c>
    </row>
    <row r="18" spans="2:9" ht="15" customHeight="1">
      <c r="B18" s="1208"/>
      <c r="C18" s="1206"/>
      <c r="D18" s="337" t="s">
        <v>768</v>
      </c>
      <c r="E18" s="323" t="s">
        <v>755</v>
      </c>
      <c r="F18" s="323" t="s">
        <v>757</v>
      </c>
      <c r="G18" s="413">
        <v>1200000</v>
      </c>
      <c r="I18" s="304"/>
    </row>
    <row r="19" spans="2:7" ht="15" customHeight="1">
      <c r="B19" s="1208"/>
      <c r="C19" s="1206"/>
      <c r="D19" s="323" t="s">
        <v>769</v>
      </c>
      <c r="E19" s="323" t="s">
        <v>755</v>
      </c>
      <c r="F19" s="323" t="s">
        <v>760</v>
      </c>
      <c r="G19" s="329">
        <v>4000000</v>
      </c>
    </row>
    <row r="20" spans="2:7" ht="15" customHeight="1">
      <c r="B20" s="1208"/>
      <c r="C20" s="1206"/>
      <c r="D20" s="337" t="s">
        <v>770</v>
      </c>
      <c r="E20" s="323" t="s">
        <v>755</v>
      </c>
      <c r="F20" s="323" t="s">
        <v>760</v>
      </c>
      <c r="G20" s="413">
        <v>2300000</v>
      </c>
    </row>
    <row r="21" spans="2:10" ht="15" customHeight="1" thickBot="1">
      <c r="B21" s="1214"/>
      <c r="C21" s="1215"/>
      <c r="D21" s="323" t="s">
        <v>771</v>
      </c>
      <c r="E21" s="323" t="s">
        <v>755</v>
      </c>
      <c r="F21" s="323" t="s">
        <v>760</v>
      </c>
      <c r="G21" s="329">
        <v>2000000</v>
      </c>
      <c r="J21" s="304"/>
    </row>
    <row r="22" spans="2:7" ht="15" customHeight="1" thickBot="1">
      <c r="B22" s="299"/>
      <c r="C22" s="291"/>
      <c r="D22" s="292" t="s">
        <v>9</v>
      </c>
      <c r="E22" s="406"/>
      <c r="F22" s="293"/>
      <c r="G22" s="396">
        <f>SUM(G13:G21)</f>
        <v>19951065</v>
      </c>
    </row>
    <row r="23" spans="2:8" ht="15" customHeight="1">
      <c r="B23" s="1243">
        <v>3</v>
      </c>
      <c r="C23" s="1205" t="s">
        <v>519</v>
      </c>
      <c r="D23" s="323" t="s">
        <v>772</v>
      </c>
      <c r="E23" s="323" t="s">
        <v>755</v>
      </c>
      <c r="F23" s="323" t="s">
        <v>760</v>
      </c>
      <c r="G23" s="329">
        <v>3000000</v>
      </c>
      <c r="H23" s="304"/>
    </row>
    <row r="24" spans="2:10" ht="15" customHeight="1" thickBot="1">
      <c r="B24" s="1246"/>
      <c r="C24" s="1206"/>
      <c r="D24" s="337"/>
      <c r="E24" s="323"/>
      <c r="F24" s="323"/>
      <c r="G24" s="413"/>
      <c r="J24" s="304"/>
    </row>
    <row r="25" spans="2:7" ht="15" customHeight="1" thickBot="1">
      <c r="B25" s="290"/>
      <c r="C25" s="293"/>
      <c r="D25" s="292" t="s">
        <v>9</v>
      </c>
      <c r="E25" s="293"/>
      <c r="F25" s="293"/>
      <c r="G25" s="396">
        <f>SUM(G23:G24)</f>
        <v>3000000</v>
      </c>
    </row>
    <row r="26" spans="2:7" ht="15" customHeight="1">
      <c r="B26" s="1207">
        <v>4</v>
      </c>
      <c r="C26" s="1205" t="s">
        <v>522</v>
      </c>
      <c r="D26" s="323" t="s">
        <v>773</v>
      </c>
      <c r="E26" s="323" t="s">
        <v>755</v>
      </c>
      <c r="F26" s="323" t="s">
        <v>757</v>
      </c>
      <c r="G26" s="329">
        <v>2000000</v>
      </c>
    </row>
    <row r="27" spans="2:7" ht="15" customHeight="1">
      <c r="B27" s="1208"/>
      <c r="C27" s="1206"/>
      <c r="D27" s="337" t="s">
        <v>774</v>
      </c>
      <c r="E27" s="323" t="s">
        <v>755</v>
      </c>
      <c r="F27" s="323" t="s">
        <v>757</v>
      </c>
      <c r="G27" s="413">
        <v>3000000</v>
      </c>
    </row>
    <row r="28" spans="2:8" ht="15" customHeight="1" thickBot="1">
      <c r="B28" s="1208"/>
      <c r="C28" s="1206"/>
      <c r="D28" s="323" t="s">
        <v>775</v>
      </c>
      <c r="E28" s="323" t="s">
        <v>755</v>
      </c>
      <c r="F28" s="323" t="s">
        <v>760</v>
      </c>
      <c r="G28" s="329">
        <v>3000000</v>
      </c>
      <c r="H28" s="304"/>
    </row>
    <row r="29" spans="2:7" ht="15" customHeight="1" thickBot="1">
      <c r="B29" s="284"/>
      <c r="C29" s="285"/>
      <c r="D29" s="298" t="s">
        <v>9</v>
      </c>
      <c r="E29" s="287"/>
      <c r="F29" s="287"/>
      <c r="G29" s="398">
        <f>SUM(G26:G28)</f>
        <v>8000000</v>
      </c>
    </row>
    <row r="30" spans="2:9" ht="15" customHeight="1">
      <c r="B30" s="1207">
        <v>5</v>
      </c>
      <c r="C30" s="1205" t="s">
        <v>749</v>
      </c>
      <c r="D30" s="323" t="s">
        <v>776</v>
      </c>
      <c r="E30" s="323" t="s">
        <v>755</v>
      </c>
      <c r="F30" s="323" t="s">
        <v>757</v>
      </c>
      <c r="G30" s="329">
        <v>3300000</v>
      </c>
      <c r="I30" s="407"/>
    </row>
    <row r="31" spans="2:7" ht="15" customHeight="1" thickBot="1">
      <c r="B31" s="1214"/>
      <c r="C31" s="1215"/>
      <c r="D31" s="345"/>
      <c r="E31" s="345"/>
      <c r="F31" s="345"/>
      <c r="G31" s="408"/>
    </row>
    <row r="32" spans="2:7" ht="15" customHeight="1" thickBot="1">
      <c r="B32" s="284"/>
      <c r="C32" s="285"/>
      <c r="D32" s="298" t="s">
        <v>9</v>
      </c>
      <c r="E32" s="287"/>
      <c r="F32" s="287"/>
      <c r="G32" s="398">
        <f>SUM(G30:G31)</f>
        <v>3300000</v>
      </c>
    </row>
    <row r="33" spans="2:9" ht="15" customHeight="1" thickBot="1">
      <c r="B33" s="350">
        <v>6</v>
      </c>
      <c r="C33" s="349" t="s">
        <v>777</v>
      </c>
      <c r="D33" s="323" t="s">
        <v>778</v>
      </c>
      <c r="E33" s="323" t="s">
        <v>755</v>
      </c>
      <c r="F33" s="323" t="s">
        <v>755</v>
      </c>
      <c r="G33" s="329">
        <v>4000000</v>
      </c>
      <c r="I33" s="407"/>
    </row>
    <row r="34" spans="2:7" ht="15" customHeight="1" thickBot="1">
      <c r="B34" s="284"/>
      <c r="C34" s="285"/>
      <c r="D34" s="298" t="s">
        <v>9</v>
      </c>
      <c r="E34" s="287"/>
      <c r="F34" s="287"/>
      <c r="G34" s="398">
        <f>SUM(G33:G33)</f>
        <v>4000000</v>
      </c>
    </row>
    <row r="35" spans="2:7" ht="15" customHeight="1" thickBot="1">
      <c r="B35" s="409"/>
      <c r="C35" s="410"/>
      <c r="D35" s="344"/>
      <c r="E35" s="345"/>
      <c r="F35" s="345"/>
      <c r="G35" s="411"/>
    </row>
    <row r="36" spans="2:7" ht="15" customHeight="1" thickBot="1">
      <c r="B36" s="284"/>
      <c r="C36" s="285"/>
      <c r="D36" s="298" t="s">
        <v>779</v>
      </c>
      <c r="E36" s="287"/>
      <c r="F36" s="287"/>
      <c r="G36" s="398">
        <f>SUM(G34,G32,G29,G25,G22,G12)</f>
        <v>56791065</v>
      </c>
    </row>
    <row r="37" ht="15" customHeight="1">
      <c r="G37" s="412"/>
    </row>
    <row r="38" ht="15" customHeight="1">
      <c r="G38" s="374"/>
    </row>
    <row r="41" ht="15" customHeight="1">
      <c r="G41" s="407"/>
    </row>
  </sheetData>
  <sheetProtection/>
  <mergeCells count="13">
    <mergeCell ref="B1:G1"/>
    <mergeCell ref="B2:G2"/>
    <mergeCell ref="B3:G3"/>
    <mergeCell ref="B6:B11"/>
    <mergeCell ref="C6:C11"/>
    <mergeCell ref="B13:B21"/>
    <mergeCell ref="C13:C21"/>
    <mergeCell ref="B23:B24"/>
    <mergeCell ref="C23:C24"/>
    <mergeCell ref="B26:B28"/>
    <mergeCell ref="C26:C28"/>
    <mergeCell ref="B30:B31"/>
    <mergeCell ref="C30:C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8">
      <selection activeCell="A33" sqref="A33:IV33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18.7109375" style="273" customWidth="1"/>
    <col min="4" max="4" width="79.28125" style="273" customWidth="1"/>
    <col min="5" max="5" width="16.00390625" style="273" customWidth="1"/>
    <col min="6" max="6" width="18.7109375" style="273" customWidth="1"/>
    <col min="7" max="7" width="15.421875" style="346" customWidth="1"/>
    <col min="8" max="8" width="9.140625" style="273" customWidth="1"/>
    <col min="9" max="9" width="12.00390625" style="273" customWidth="1"/>
    <col min="10" max="10" width="11.140625" style="273" customWidth="1"/>
    <col min="11" max="11" width="11.57421875" style="273" customWidth="1"/>
    <col min="12" max="16384" width="9.140625" style="273" customWidth="1"/>
  </cols>
  <sheetData>
    <row r="1" spans="2:8" ht="15" customHeight="1">
      <c r="B1" s="1209" t="s">
        <v>496</v>
      </c>
      <c r="C1" s="1209"/>
      <c r="D1" s="1209"/>
      <c r="E1" s="1209"/>
      <c r="F1" s="1209"/>
      <c r="G1" s="1209"/>
      <c r="H1" s="1209"/>
    </row>
    <row r="2" spans="2:8" ht="15" customHeight="1">
      <c r="B2" s="1209" t="s">
        <v>780</v>
      </c>
      <c r="C2" s="1209"/>
      <c r="D2" s="1209"/>
      <c r="E2" s="1209"/>
      <c r="F2" s="1209"/>
      <c r="G2" s="1209"/>
      <c r="H2" s="1209"/>
    </row>
    <row r="3" spans="2:8" ht="15" customHeight="1">
      <c r="B3" s="274"/>
      <c r="C3" s="1209" t="s">
        <v>753</v>
      </c>
      <c r="D3" s="1209"/>
      <c r="E3" s="1209"/>
      <c r="F3" s="1209"/>
      <c r="G3" s="1209"/>
      <c r="H3" s="1209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56">
        <v>1</v>
      </c>
      <c r="C6" s="1216" t="s">
        <v>0</v>
      </c>
      <c r="D6" s="323" t="s">
        <v>781</v>
      </c>
      <c r="E6" s="323" t="s">
        <v>782</v>
      </c>
      <c r="F6" s="323" t="s">
        <v>783</v>
      </c>
      <c r="G6" s="329">
        <v>5000000</v>
      </c>
    </row>
    <row r="7" spans="2:7" ht="15" customHeight="1">
      <c r="B7" s="1257"/>
      <c r="C7" s="1206"/>
      <c r="D7" s="337" t="s">
        <v>784</v>
      </c>
      <c r="E7" s="323" t="s">
        <v>782</v>
      </c>
      <c r="F7" s="337" t="s">
        <v>785</v>
      </c>
      <c r="G7" s="413">
        <v>3410000</v>
      </c>
    </row>
    <row r="8" spans="2:11" ht="15" customHeight="1" thickBot="1">
      <c r="B8" s="1258"/>
      <c r="C8" s="1215"/>
      <c r="D8" s="326"/>
      <c r="E8" s="326"/>
      <c r="F8" s="326"/>
      <c r="G8" s="342"/>
      <c r="K8" s="304"/>
    </row>
    <row r="9" spans="2:7" ht="15" customHeight="1" thickBot="1">
      <c r="B9" s="290"/>
      <c r="C9" s="291"/>
      <c r="D9" s="292" t="s">
        <v>9</v>
      </c>
      <c r="E9" s="293"/>
      <c r="F9" s="293"/>
      <c r="G9" s="343">
        <f>SUM(G6:G8)</f>
        <v>8410000</v>
      </c>
    </row>
    <row r="10" spans="2:7" ht="15" customHeight="1">
      <c r="B10" s="1212">
        <v>2</v>
      </c>
      <c r="C10" s="1205" t="s">
        <v>508</v>
      </c>
      <c r="D10" s="323" t="s">
        <v>786</v>
      </c>
      <c r="E10" s="323" t="s">
        <v>782</v>
      </c>
      <c r="F10" s="323" t="s">
        <v>787</v>
      </c>
      <c r="G10" s="329">
        <v>5000000</v>
      </c>
    </row>
    <row r="11" spans="2:7" ht="15" customHeight="1">
      <c r="B11" s="1213"/>
      <c r="C11" s="1206"/>
      <c r="D11" s="337" t="s">
        <v>788</v>
      </c>
      <c r="E11" s="323" t="s">
        <v>782</v>
      </c>
      <c r="F11" s="337" t="s">
        <v>787</v>
      </c>
      <c r="G11" s="413">
        <v>3000000</v>
      </c>
    </row>
    <row r="12" spans="2:7" ht="15" customHeight="1">
      <c r="B12" s="1213"/>
      <c r="C12" s="1206"/>
      <c r="D12" s="323" t="s">
        <v>789</v>
      </c>
      <c r="E12" s="323" t="s">
        <v>782</v>
      </c>
      <c r="F12" s="323" t="s">
        <v>787</v>
      </c>
      <c r="G12" s="329">
        <v>1000000</v>
      </c>
    </row>
    <row r="13" spans="2:7" ht="15" customHeight="1">
      <c r="B13" s="1213"/>
      <c r="C13" s="1206"/>
      <c r="D13" s="337" t="s">
        <v>790</v>
      </c>
      <c r="E13" s="323" t="s">
        <v>782</v>
      </c>
      <c r="F13" s="337" t="s">
        <v>787</v>
      </c>
      <c r="G13" s="413">
        <v>3000000</v>
      </c>
    </row>
    <row r="14" spans="2:7" ht="15" customHeight="1">
      <c r="B14" s="1213"/>
      <c r="C14" s="1206"/>
      <c r="D14" s="323" t="s">
        <v>791</v>
      </c>
      <c r="E14" s="323" t="s">
        <v>782</v>
      </c>
      <c r="F14" s="323" t="s">
        <v>792</v>
      </c>
      <c r="G14" s="329">
        <v>3000000</v>
      </c>
    </row>
    <row r="15" spans="2:7" ht="15" customHeight="1">
      <c r="B15" s="1213"/>
      <c r="C15" s="1206"/>
      <c r="D15" s="337" t="s">
        <v>793</v>
      </c>
      <c r="E15" s="323" t="s">
        <v>782</v>
      </c>
      <c r="F15" s="337" t="s">
        <v>792</v>
      </c>
      <c r="G15" s="413">
        <v>2000000</v>
      </c>
    </row>
    <row r="16" spans="2:7" ht="15" customHeight="1">
      <c r="B16" s="1213"/>
      <c r="C16" s="1206"/>
      <c r="D16" s="323" t="s">
        <v>794</v>
      </c>
      <c r="E16" s="323" t="s">
        <v>782</v>
      </c>
      <c r="F16" s="323" t="s">
        <v>792</v>
      </c>
      <c r="G16" s="329">
        <v>2000000</v>
      </c>
    </row>
    <row r="17" spans="2:9" ht="15" customHeight="1">
      <c r="B17" s="1213"/>
      <c r="C17" s="1206"/>
      <c r="D17" s="337" t="s">
        <v>795</v>
      </c>
      <c r="E17" s="323" t="s">
        <v>782</v>
      </c>
      <c r="F17" s="337" t="s">
        <v>785</v>
      </c>
      <c r="G17" s="413">
        <v>12215000</v>
      </c>
      <c r="I17" s="304"/>
    </row>
    <row r="18" spans="2:7" ht="15" customHeight="1">
      <c r="B18" s="1213"/>
      <c r="C18" s="1206"/>
      <c r="D18" s="323" t="s">
        <v>796</v>
      </c>
      <c r="E18" s="323" t="s">
        <v>782</v>
      </c>
      <c r="F18" s="323" t="s">
        <v>785</v>
      </c>
      <c r="G18" s="329">
        <v>3125000</v>
      </c>
    </row>
    <row r="19" spans="2:11" ht="15" customHeight="1" thickBot="1">
      <c r="B19" s="1242"/>
      <c r="C19" s="1215"/>
      <c r="D19" s="323" t="s">
        <v>797</v>
      </c>
      <c r="E19" s="323" t="s">
        <v>782</v>
      </c>
      <c r="F19" s="323" t="s">
        <v>783</v>
      </c>
      <c r="G19" s="329">
        <v>3000000</v>
      </c>
      <c r="K19" s="304"/>
    </row>
    <row r="20" spans="2:7" ht="15" customHeight="1" thickBot="1">
      <c r="B20" s="299"/>
      <c r="C20" s="291"/>
      <c r="D20" s="292" t="s">
        <v>9</v>
      </c>
      <c r="E20" s="406"/>
      <c r="F20" s="293"/>
      <c r="G20" s="333">
        <f>SUM(G10:G19)</f>
        <v>37340000</v>
      </c>
    </row>
    <row r="21" spans="2:7" ht="15" customHeight="1">
      <c r="B21" s="1261">
        <v>3</v>
      </c>
      <c r="C21" s="1205" t="s">
        <v>519</v>
      </c>
      <c r="D21" s="323" t="s">
        <v>798</v>
      </c>
      <c r="E21" s="323" t="s">
        <v>782</v>
      </c>
      <c r="F21" s="323" t="s">
        <v>787</v>
      </c>
      <c r="G21" s="329">
        <v>2000000</v>
      </c>
    </row>
    <row r="22" spans="2:7" ht="15" customHeight="1">
      <c r="B22" s="1262"/>
      <c r="C22" s="1206"/>
      <c r="D22" s="337" t="s">
        <v>799</v>
      </c>
      <c r="E22" s="323" t="s">
        <v>782</v>
      </c>
      <c r="F22" s="337" t="s">
        <v>783</v>
      </c>
      <c r="G22" s="413">
        <v>3000000</v>
      </c>
    </row>
    <row r="23" spans="2:9" ht="15" customHeight="1">
      <c r="B23" s="1262"/>
      <c r="C23" s="1206"/>
      <c r="D23" s="323" t="s">
        <v>800</v>
      </c>
      <c r="E23" s="323" t="s">
        <v>782</v>
      </c>
      <c r="F23" s="323" t="s">
        <v>792</v>
      </c>
      <c r="G23" s="329">
        <v>1000000</v>
      </c>
      <c r="I23" s="304"/>
    </row>
    <row r="24" spans="2:11" ht="15" customHeight="1">
      <c r="B24" s="1262"/>
      <c r="C24" s="1206"/>
      <c r="D24" s="337" t="s">
        <v>801</v>
      </c>
      <c r="E24" s="323" t="s">
        <v>782</v>
      </c>
      <c r="F24" s="337" t="s">
        <v>792</v>
      </c>
      <c r="G24" s="413">
        <v>4000000</v>
      </c>
      <c r="K24" s="304"/>
    </row>
    <row r="25" spans="2:7" ht="15" customHeight="1" thickBot="1">
      <c r="B25" s="1263"/>
      <c r="C25" s="1215"/>
      <c r="D25" s="339"/>
      <c r="E25" s="339"/>
      <c r="F25" s="339"/>
      <c r="G25" s="340"/>
    </row>
    <row r="26" spans="2:7" ht="15" customHeight="1" thickBot="1">
      <c r="B26" s="290"/>
      <c r="C26" s="293"/>
      <c r="D26" s="292" t="s">
        <v>9</v>
      </c>
      <c r="E26" s="293"/>
      <c r="F26" s="293"/>
      <c r="G26" s="333">
        <f>SUM(G21:G25)</f>
        <v>10000000</v>
      </c>
    </row>
    <row r="27" spans="2:7" ht="15" customHeight="1">
      <c r="B27" s="1207">
        <v>4</v>
      </c>
      <c r="C27" s="1205" t="s">
        <v>522</v>
      </c>
      <c r="D27" s="323" t="s">
        <v>802</v>
      </c>
      <c r="E27" s="323" t="s">
        <v>782</v>
      </c>
      <c r="F27" s="323" t="s">
        <v>787</v>
      </c>
      <c r="G27" s="329">
        <v>2000000</v>
      </c>
    </row>
    <row r="28" spans="2:7" ht="15" customHeight="1">
      <c r="B28" s="1208"/>
      <c r="C28" s="1206"/>
      <c r="D28" s="337" t="s">
        <v>803</v>
      </c>
      <c r="E28" s="323" t="s">
        <v>782</v>
      </c>
      <c r="F28" s="337" t="s">
        <v>783</v>
      </c>
      <c r="G28" s="413">
        <v>3000000</v>
      </c>
    </row>
    <row r="29" spans="2:9" ht="15" customHeight="1" thickBot="1">
      <c r="B29" s="1208"/>
      <c r="C29" s="1206"/>
      <c r="D29" s="323" t="s">
        <v>804</v>
      </c>
      <c r="E29" s="323" t="s">
        <v>782</v>
      </c>
      <c r="F29" s="323" t="s">
        <v>792</v>
      </c>
      <c r="G29" s="329">
        <v>1000000</v>
      </c>
      <c r="I29" s="304"/>
    </row>
    <row r="30" spans="2:7" ht="15" customHeight="1" thickBot="1">
      <c r="B30" s="284"/>
      <c r="C30" s="285"/>
      <c r="D30" s="298" t="s">
        <v>9</v>
      </c>
      <c r="E30" s="287"/>
      <c r="F30" s="287"/>
      <c r="G30" s="328">
        <f>SUM(G27:G29)</f>
        <v>6000000</v>
      </c>
    </row>
    <row r="31" spans="2:10" ht="15" customHeight="1">
      <c r="B31" s="1207">
        <v>5</v>
      </c>
      <c r="C31" s="1205" t="s">
        <v>749</v>
      </c>
      <c r="D31" s="323" t="s">
        <v>805</v>
      </c>
      <c r="E31" s="323" t="s">
        <v>782</v>
      </c>
      <c r="F31" s="323" t="s">
        <v>792</v>
      </c>
      <c r="G31" s="329">
        <v>2750000</v>
      </c>
      <c r="J31" s="407"/>
    </row>
    <row r="32" spans="2:7" ht="15" customHeight="1" thickBot="1">
      <c r="B32" s="1214"/>
      <c r="C32" s="1215"/>
      <c r="D32" s="337" t="s">
        <v>806</v>
      </c>
      <c r="E32" s="323" t="s">
        <v>782</v>
      </c>
      <c r="F32" s="337" t="s">
        <v>792</v>
      </c>
      <c r="G32" s="413">
        <v>1000000</v>
      </c>
    </row>
    <row r="33" spans="2:7" ht="15" customHeight="1" thickBot="1">
      <c r="B33" s="284"/>
      <c r="C33" s="285"/>
      <c r="D33" s="298" t="s">
        <v>9</v>
      </c>
      <c r="E33" s="287"/>
      <c r="F33" s="287"/>
      <c r="G33" s="328">
        <f>SUM(G31:G32)</f>
        <v>3750000</v>
      </c>
    </row>
    <row r="34" spans="2:7" ht="15" customHeight="1">
      <c r="B34" s="1207">
        <v>6</v>
      </c>
      <c r="C34" s="1205" t="s">
        <v>807</v>
      </c>
      <c r="D34" s="323" t="s">
        <v>808</v>
      </c>
      <c r="E34" s="323" t="s">
        <v>782</v>
      </c>
      <c r="F34" s="323" t="s">
        <v>787</v>
      </c>
      <c r="G34" s="329">
        <v>3000000</v>
      </c>
    </row>
    <row r="35" spans="2:7" ht="15" customHeight="1">
      <c r="B35" s="1208"/>
      <c r="C35" s="1206"/>
      <c r="D35" s="337" t="s">
        <v>809</v>
      </c>
      <c r="E35" s="323" t="s">
        <v>782</v>
      </c>
      <c r="F35" s="337" t="s">
        <v>783</v>
      </c>
      <c r="G35" s="413">
        <v>2000000</v>
      </c>
    </row>
    <row r="36" spans="2:7" ht="15" customHeight="1">
      <c r="B36" s="1208"/>
      <c r="C36" s="1206"/>
      <c r="D36" s="323" t="s">
        <v>810</v>
      </c>
      <c r="E36" s="323" t="s">
        <v>782</v>
      </c>
      <c r="F36" s="323" t="s">
        <v>792</v>
      </c>
      <c r="G36" s="329">
        <v>4750000</v>
      </c>
    </row>
    <row r="37" spans="2:7" ht="15" customHeight="1" thickBot="1">
      <c r="B37" s="1214"/>
      <c r="C37" s="1215"/>
      <c r="D37" s="321"/>
      <c r="E37" s="323"/>
      <c r="F37" s="329"/>
      <c r="G37" s="329"/>
    </row>
    <row r="38" spans="2:7" ht="15" customHeight="1" thickBot="1">
      <c r="B38" s="284"/>
      <c r="C38" s="285"/>
      <c r="D38" s="298" t="s">
        <v>9</v>
      </c>
      <c r="E38" s="287"/>
      <c r="F38" s="287"/>
      <c r="G38" s="328">
        <f>SUM(G34:G37)</f>
        <v>9750000</v>
      </c>
    </row>
    <row r="39" spans="2:7" ht="15" customHeight="1" thickBot="1">
      <c r="B39" s="414"/>
      <c r="C39" s="351"/>
      <c r="D39" s="323"/>
      <c r="E39" s="326"/>
      <c r="F39" s="342"/>
      <c r="G39" s="342"/>
    </row>
    <row r="40" spans="2:7" ht="15" customHeight="1" thickBot="1">
      <c r="B40" s="284"/>
      <c r="C40" s="285"/>
      <c r="D40" s="298" t="s">
        <v>811</v>
      </c>
      <c r="E40" s="287"/>
      <c r="F40" s="287"/>
      <c r="G40" s="328">
        <f>SUM(G33,G30,G26,G20,G9,G38)</f>
        <v>75250000</v>
      </c>
    </row>
    <row r="41" ht="15" customHeight="1">
      <c r="G41" s="415"/>
    </row>
  </sheetData>
  <sheetProtection/>
  <mergeCells count="15">
    <mergeCell ref="B1:H1"/>
    <mergeCell ref="B2:H2"/>
    <mergeCell ref="C3:H3"/>
    <mergeCell ref="B6:B8"/>
    <mergeCell ref="C6:C8"/>
    <mergeCell ref="B10:B19"/>
    <mergeCell ref="C10:C19"/>
    <mergeCell ref="B34:B37"/>
    <mergeCell ref="C34:C37"/>
    <mergeCell ref="B21:B25"/>
    <mergeCell ref="C21:C25"/>
    <mergeCell ref="B27:B29"/>
    <mergeCell ref="C27:C29"/>
    <mergeCell ref="B31:B32"/>
    <mergeCell ref="C31:C3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7">
      <selection activeCell="D33" sqref="D33:G34"/>
    </sheetView>
  </sheetViews>
  <sheetFormatPr defaultColWidth="9.140625" defaultRowHeight="15" customHeight="1"/>
  <cols>
    <col min="1" max="1" width="1.57421875" style="273" customWidth="1"/>
    <col min="2" max="2" width="7.421875" style="273" customWidth="1"/>
    <col min="3" max="3" width="18.7109375" style="273" customWidth="1"/>
    <col min="4" max="4" width="51.8515625" style="273" customWidth="1"/>
    <col min="5" max="5" width="16.00390625" style="273" customWidth="1"/>
    <col min="6" max="6" width="18.7109375" style="273" customWidth="1"/>
    <col min="7" max="7" width="15.421875" style="273" customWidth="1"/>
    <col min="8" max="8" width="9.140625" style="273" customWidth="1"/>
    <col min="9" max="9" width="12.00390625" style="273" customWidth="1"/>
    <col min="10" max="10" width="11.140625" style="273" customWidth="1"/>
    <col min="11" max="11" width="11.57421875" style="273" customWidth="1"/>
    <col min="12" max="16384" width="9.140625" style="273" customWidth="1"/>
  </cols>
  <sheetData>
    <row r="1" spans="2:8" ht="15" customHeight="1">
      <c r="B1" s="1209" t="s">
        <v>496</v>
      </c>
      <c r="C1" s="1209"/>
      <c r="D1" s="1209"/>
      <c r="E1" s="1209"/>
      <c r="F1" s="1209"/>
      <c r="G1" s="1209"/>
      <c r="H1" s="1209"/>
    </row>
    <row r="2" spans="2:8" ht="15" customHeight="1">
      <c r="B2" s="1209" t="s">
        <v>812</v>
      </c>
      <c r="C2" s="1209"/>
      <c r="D2" s="1209"/>
      <c r="E2" s="1209"/>
      <c r="F2" s="1209"/>
      <c r="G2" s="1209"/>
      <c r="H2" s="1209"/>
    </row>
    <row r="3" spans="2:8" ht="15" customHeight="1">
      <c r="B3" s="274"/>
      <c r="C3" s="1209" t="s">
        <v>753</v>
      </c>
      <c r="D3" s="1209"/>
      <c r="E3" s="1209"/>
      <c r="F3" s="1209"/>
      <c r="G3" s="1209"/>
      <c r="H3" s="1209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56">
        <v>1</v>
      </c>
      <c r="C6" s="1216" t="s">
        <v>0</v>
      </c>
      <c r="D6" s="323" t="s">
        <v>813</v>
      </c>
      <c r="E6" s="323" t="s">
        <v>814</v>
      </c>
      <c r="F6" s="323" t="s">
        <v>815</v>
      </c>
      <c r="G6" s="329">
        <v>5000000</v>
      </c>
    </row>
    <row r="7" spans="2:7" ht="15" customHeight="1">
      <c r="B7" s="1257"/>
      <c r="C7" s="1206"/>
      <c r="D7" s="337" t="s">
        <v>816</v>
      </c>
      <c r="E7" s="323" t="s">
        <v>814</v>
      </c>
      <c r="F7" s="337" t="s">
        <v>817</v>
      </c>
      <c r="G7" s="413">
        <v>2800000</v>
      </c>
    </row>
    <row r="8" spans="2:9" ht="15" customHeight="1" thickBot="1">
      <c r="B8" s="1257"/>
      <c r="C8" s="1206"/>
      <c r="D8" s="323" t="s">
        <v>917</v>
      </c>
      <c r="E8" s="323" t="s">
        <v>814</v>
      </c>
      <c r="F8" s="323" t="s">
        <v>818</v>
      </c>
      <c r="G8" s="329">
        <v>2000000</v>
      </c>
      <c r="I8" s="402"/>
    </row>
    <row r="9" spans="2:7" ht="15" customHeight="1" thickBot="1">
      <c r="B9" s="290"/>
      <c r="C9" s="291"/>
      <c r="D9" s="292" t="s">
        <v>9</v>
      </c>
      <c r="E9" s="293"/>
      <c r="F9" s="293"/>
      <c r="G9" s="394">
        <f>SUM(G6:G8)</f>
        <v>9800000</v>
      </c>
    </row>
    <row r="10" spans="2:7" ht="15" customHeight="1">
      <c r="B10" s="1207">
        <v>2</v>
      </c>
      <c r="C10" s="1205" t="s">
        <v>508</v>
      </c>
      <c r="D10" s="323" t="s">
        <v>819</v>
      </c>
      <c r="E10" s="323" t="s">
        <v>814</v>
      </c>
      <c r="F10" s="323" t="s">
        <v>820</v>
      </c>
      <c r="G10" s="329">
        <v>4500000</v>
      </c>
    </row>
    <row r="11" spans="2:7" ht="15" customHeight="1">
      <c r="B11" s="1208"/>
      <c r="C11" s="1206"/>
      <c r="D11" s="337" t="s">
        <v>821</v>
      </c>
      <c r="E11" s="323" t="s">
        <v>814</v>
      </c>
      <c r="F11" s="337" t="s">
        <v>817</v>
      </c>
      <c r="G11" s="413">
        <v>2000000</v>
      </c>
    </row>
    <row r="12" spans="2:9" ht="15" customHeight="1">
      <c r="B12" s="1208"/>
      <c r="C12" s="1206"/>
      <c r="D12" s="323" t="s">
        <v>822</v>
      </c>
      <c r="E12" s="323" t="s">
        <v>814</v>
      </c>
      <c r="F12" s="323" t="s">
        <v>817</v>
      </c>
      <c r="G12" s="329">
        <v>1000000</v>
      </c>
      <c r="I12" s="304"/>
    </row>
    <row r="13" spans="2:7" ht="15" customHeight="1">
      <c r="B13" s="1208"/>
      <c r="C13" s="1206"/>
      <c r="D13" s="323" t="s">
        <v>823</v>
      </c>
      <c r="E13" s="323" t="s">
        <v>814</v>
      </c>
      <c r="F13" s="323" t="s">
        <v>817</v>
      </c>
      <c r="G13" s="329">
        <v>1700000</v>
      </c>
    </row>
    <row r="14" spans="2:7" ht="15" customHeight="1">
      <c r="B14" s="1208"/>
      <c r="C14" s="1206"/>
      <c r="D14" s="337" t="s">
        <v>824</v>
      </c>
      <c r="E14" s="323" t="s">
        <v>814</v>
      </c>
      <c r="F14" s="337" t="s">
        <v>818</v>
      </c>
      <c r="G14" s="413">
        <v>1000000</v>
      </c>
    </row>
    <row r="15" spans="2:10" ht="15" customHeight="1" thickBot="1">
      <c r="B15" s="1208"/>
      <c r="C15" s="1206"/>
      <c r="D15" s="323" t="s">
        <v>825</v>
      </c>
      <c r="E15" s="323" t="s">
        <v>814</v>
      </c>
      <c r="F15" s="323" t="s">
        <v>818</v>
      </c>
      <c r="G15" s="329">
        <v>1000000</v>
      </c>
      <c r="J15" s="304"/>
    </row>
    <row r="16" spans="2:7" ht="15" customHeight="1" thickBot="1">
      <c r="B16" s="299"/>
      <c r="C16" s="291"/>
      <c r="D16" s="292" t="s">
        <v>9</v>
      </c>
      <c r="E16" s="406"/>
      <c r="F16" s="293"/>
      <c r="G16" s="396">
        <f>SUM(G10:G15)</f>
        <v>11200000</v>
      </c>
    </row>
    <row r="17" spans="2:7" ht="15" customHeight="1">
      <c r="B17" s="1261">
        <v>3</v>
      </c>
      <c r="C17" s="1254" t="s">
        <v>519</v>
      </c>
      <c r="D17" s="323" t="s">
        <v>826</v>
      </c>
      <c r="E17" s="323" t="s">
        <v>814</v>
      </c>
      <c r="F17" s="323" t="s">
        <v>815</v>
      </c>
      <c r="G17" s="329">
        <v>1500000</v>
      </c>
    </row>
    <row r="18" spans="2:7" ht="15" customHeight="1">
      <c r="B18" s="1262"/>
      <c r="C18" s="1255"/>
      <c r="D18" s="337" t="s">
        <v>827</v>
      </c>
      <c r="E18" s="323" t="s">
        <v>814</v>
      </c>
      <c r="F18" s="323" t="s">
        <v>815</v>
      </c>
      <c r="G18" s="413">
        <v>1800000</v>
      </c>
    </row>
    <row r="19" spans="2:9" ht="15" customHeight="1">
      <c r="B19" s="1262"/>
      <c r="C19" s="1255"/>
      <c r="D19" s="323" t="s">
        <v>828</v>
      </c>
      <c r="E19" s="323" t="s">
        <v>814</v>
      </c>
      <c r="F19" s="323" t="s">
        <v>820</v>
      </c>
      <c r="G19" s="329">
        <v>8000000</v>
      </c>
      <c r="I19" s="304"/>
    </row>
    <row r="20" spans="2:11" ht="15" customHeight="1">
      <c r="B20" s="1262"/>
      <c r="C20" s="1255"/>
      <c r="D20" s="323" t="s">
        <v>829</v>
      </c>
      <c r="E20" s="323" t="s">
        <v>814</v>
      </c>
      <c r="F20" s="323" t="s">
        <v>817</v>
      </c>
      <c r="G20" s="329">
        <v>5000000</v>
      </c>
      <c r="K20" s="304"/>
    </row>
    <row r="21" spans="2:7" ht="15" customHeight="1">
      <c r="B21" s="1262"/>
      <c r="C21" s="1255"/>
      <c r="D21" s="337" t="s">
        <v>830</v>
      </c>
      <c r="E21" s="323" t="s">
        <v>814</v>
      </c>
      <c r="F21" s="337" t="s">
        <v>818</v>
      </c>
      <c r="G21" s="413">
        <v>5000000</v>
      </c>
    </row>
    <row r="22" spans="2:7" ht="15" customHeight="1" thickBot="1">
      <c r="B22" s="1263"/>
      <c r="C22" s="1266"/>
      <c r="D22" s="323" t="s">
        <v>831</v>
      </c>
      <c r="E22" s="323" t="s">
        <v>814</v>
      </c>
      <c r="F22" s="323" t="s">
        <v>818</v>
      </c>
      <c r="G22" s="329">
        <v>2000000</v>
      </c>
    </row>
    <row r="23" spans="2:7" ht="15" customHeight="1" thickBot="1">
      <c r="B23" s="290"/>
      <c r="C23" s="293"/>
      <c r="D23" s="292" t="s">
        <v>9</v>
      </c>
      <c r="E23" s="293"/>
      <c r="F23" s="293"/>
      <c r="G23" s="396">
        <f>SUM(G17:G22)</f>
        <v>23300000</v>
      </c>
    </row>
    <row r="24" spans="2:7" ht="15" customHeight="1">
      <c r="B24" s="1207">
        <v>4</v>
      </c>
      <c r="C24" s="1205" t="s">
        <v>522</v>
      </c>
      <c r="D24" s="323" t="s">
        <v>832</v>
      </c>
      <c r="E24" s="323" t="s">
        <v>814</v>
      </c>
      <c r="F24" s="323" t="s">
        <v>815</v>
      </c>
      <c r="G24" s="329">
        <v>1500000</v>
      </c>
    </row>
    <row r="25" spans="2:7" ht="15" customHeight="1">
      <c r="B25" s="1208"/>
      <c r="C25" s="1206"/>
      <c r="D25" s="337" t="s">
        <v>833</v>
      </c>
      <c r="E25" s="323" t="s">
        <v>814</v>
      </c>
      <c r="F25" s="323" t="s">
        <v>820</v>
      </c>
      <c r="G25" s="413">
        <v>1500000</v>
      </c>
    </row>
    <row r="26" spans="2:9" ht="15" customHeight="1">
      <c r="B26" s="1208"/>
      <c r="C26" s="1206"/>
      <c r="D26" s="323" t="s">
        <v>834</v>
      </c>
      <c r="E26" s="323" t="s">
        <v>814</v>
      </c>
      <c r="F26" s="323" t="s">
        <v>820</v>
      </c>
      <c r="G26" s="329">
        <v>1500000</v>
      </c>
      <c r="I26" s="304"/>
    </row>
    <row r="27" spans="2:10" ht="15" customHeight="1">
      <c r="B27" s="1208"/>
      <c r="C27" s="1206"/>
      <c r="D27" s="323" t="s">
        <v>835</v>
      </c>
      <c r="E27" s="323" t="s">
        <v>814</v>
      </c>
      <c r="F27" s="323" t="s">
        <v>820</v>
      </c>
      <c r="G27" s="329">
        <v>1500000</v>
      </c>
      <c r="J27" s="304"/>
    </row>
    <row r="28" spans="2:11" ht="15" customHeight="1" thickBot="1">
      <c r="B28" s="1208"/>
      <c r="C28" s="1206"/>
      <c r="D28" s="337" t="s">
        <v>836</v>
      </c>
      <c r="E28" s="323" t="s">
        <v>814</v>
      </c>
      <c r="F28" s="337" t="s">
        <v>817</v>
      </c>
      <c r="G28" s="413">
        <v>1500000</v>
      </c>
      <c r="K28" s="304"/>
    </row>
    <row r="29" spans="2:7" ht="15" customHeight="1" thickBot="1">
      <c r="B29" s="284"/>
      <c r="C29" s="285"/>
      <c r="D29" s="298" t="s">
        <v>9</v>
      </c>
      <c r="E29" s="287"/>
      <c r="F29" s="287"/>
      <c r="G29" s="398">
        <f>SUM(G24:G28)</f>
        <v>7500000</v>
      </c>
    </row>
    <row r="30" spans="2:10" ht="15" customHeight="1">
      <c r="B30" s="1207">
        <v>5</v>
      </c>
      <c r="C30" s="1205" t="s">
        <v>837</v>
      </c>
      <c r="D30" s="323" t="s">
        <v>838</v>
      </c>
      <c r="E30" s="323" t="s">
        <v>814</v>
      </c>
      <c r="F30" s="323" t="s">
        <v>815</v>
      </c>
      <c r="G30" s="329">
        <v>3600000</v>
      </c>
      <c r="J30" s="407"/>
    </row>
    <row r="31" spans="2:7" ht="15" customHeight="1" thickBot="1">
      <c r="B31" s="1214"/>
      <c r="C31" s="1215"/>
      <c r="D31" s="337" t="s">
        <v>839</v>
      </c>
      <c r="E31" s="323" t="s">
        <v>814</v>
      </c>
      <c r="F31" s="323" t="s">
        <v>815</v>
      </c>
      <c r="G31" s="413">
        <v>3600000</v>
      </c>
    </row>
    <row r="32" spans="2:7" ht="15" customHeight="1" thickBot="1">
      <c r="B32" s="284"/>
      <c r="C32" s="285"/>
      <c r="D32" s="298" t="s">
        <v>9</v>
      </c>
      <c r="E32" s="287"/>
      <c r="F32" s="287"/>
      <c r="G32" s="398">
        <f>SUM(G30:G31)</f>
        <v>7200000</v>
      </c>
    </row>
    <row r="33" spans="2:7" ht="15" customHeight="1">
      <c r="B33" s="1212">
        <v>6</v>
      </c>
      <c r="C33" s="1264" t="s">
        <v>840</v>
      </c>
      <c r="D33" s="323" t="s">
        <v>841</v>
      </c>
      <c r="E33" s="323" t="s">
        <v>842</v>
      </c>
      <c r="F33" s="323" t="s">
        <v>817</v>
      </c>
      <c r="G33" s="329">
        <v>3000000</v>
      </c>
    </row>
    <row r="34" spans="2:7" ht="15" customHeight="1" thickBot="1">
      <c r="B34" s="1242"/>
      <c r="C34" s="1265"/>
      <c r="D34" s="337" t="s">
        <v>843</v>
      </c>
      <c r="E34" s="323" t="s">
        <v>842</v>
      </c>
      <c r="F34" s="323" t="s">
        <v>818</v>
      </c>
      <c r="G34" s="413">
        <v>6000000</v>
      </c>
    </row>
    <row r="35" spans="2:7" ht="15" customHeight="1" thickBot="1">
      <c r="B35" s="284"/>
      <c r="C35" s="285"/>
      <c r="D35" s="298" t="s">
        <v>9</v>
      </c>
      <c r="E35" s="287"/>
      <c r="F35" s="287"/>
      <c r="G35" s="398">
        <f>SUM(G33:G34)</f>
        <v>9000000</v>
      </c>
    </row>
    <row r="36" spans="2:7" ht="15" customHeight="1" thickBot="1">
      <c r="B36" s="409"/>
      <c r="C36" s="410"/>
      <c r="D36" s="344"/>
      <c r="E36" s="345"/>
      <c r="F36" s="345"/>
      <c r="G36" s="411"/>
    </row>
    <row r="37" spans="2:7" ht="15" customHeight="1" thickBot="1">
      <c r="B37" s="284"/>
      <c r="C37" s="285"/>
      <c r="D37" s="298" t="s">
        <v>844</v>
      </c>
      <c r="E37" s="287"/>
      <c r="F37" s="287"/>
      <c r="G37" s="398">
        <f>SUM(G35,G32,G29,G23,G16,G9)</f>
        <v>68000000</v>
      </c>
    </row>
    <row r="38" ht="15" customHeight="1">
      <c r="G38" s="412"/>
    </row>
    <row r="39" ht="15" customHeight="1">
      <c r="G39" s="374"/>
    </row>
    <row r="42" ht="15" customHeight="1">
      <c r="G42" s="407"/>
    </row>
  </sheetData>
  <sheetProtection/>
  <mergeCells count="15">
    <mergeCell ref="B1:H1"/>
    <mergeCell ref="B2:H2"/>
    <mergeCell ref="C3:H3"/>
    <mergeCell ref="B6:B8"/>
    <mergeCell ref="C6:C8"/>
    <mergeCell ref="B10:B15"/>
    <mergeCell ref="C10:C15"/>
    <mergeCell ref="B33:B34"/>
    <mergeCell ref="C33:C34"/>
    <mergeCell ref="B17:B22"/>
    <mergeCell ref="C17:C22"/>
    <mergeCell ref="B24:B28"/>
    <mergeCell ref="C24:C28"/>
    <mergeCell ref="B30:B31"/>
    <mergeCell ref="C30:C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85">
      <selection activeCell="I101" sqref="I101"/>
    </sheetView>
  </sheetViews>
  <sheetFormatPr defaultColWidth="9.140625" defaultRowHeight="15" customHeight="1"/>
  <cols>
    <col min="1" max="1" width="2.8515625" style="273" customWidth="1"/>
    <col min="2" max="2" width="9.140625" style="273" customWidth="1"/>
    <col min="3" max="3" width="27.57421875" style="273" customWidth="1"/>
    <col min="4" max="4" width="62.421875" style="273" customWidth="1"/>
    <col min="5" max="5" width="16.00390625" style="273" customWidth="1"/>
    <col min="6" max="6" width="18.7109375" style="273" customWidth="1"/>
    <col min="7" max="7" width="19.421875" style="346" customWidth="1"/>
    <col min="8" max="16384" width="9.140625" style="273" customWidth="1"/>
  </cols>
  <sheetData>
    <row r="1" spans="2:7" ht="15" customHeight="1">
      <c r="B1" s="1209" t="s">
        <v>334</v>
      </c>
      <c r="C1" s="1209"/>
      <c r="D1" s="1209"/>
      <c r="E1" s="1209"/>
      <c r="F1" s="1209"/>
      <c r="G1" s="1209"/>
    </row>
    <row r="2" spans="2:7" ht="15" customHeight="1">
      <c r="B2" s="1210"/>
      <c r="C2" s="1210"/>
      <c r="D2" s="1210"/>
      <c r="E2" s="1210"/>
      <c r="F2" s="1210"/>
      <c r="G2" s="1210"/>
    </row>
    <row r="3" spans="2:7" ht="15" customHeight="1">
      <c r="B3" s="274"/>
      <c r="C3" s="1211" t="s">
        <v>956</v>
      </c>
      <c r="D3" s="1211"/>
      <c r="E3" s="1211"/>
      <c r="F3" s="1211"/>
      <c r="G3" s="1211"/>
    </row>
    <row r="5" spans="2:7" ht="15" customHeight="1">
      <c r="B5" s="275" t="s">
        <v>4</v>
      </c>
      <c r="C5" s="276" t="s">
        <v>8</v>
      </c>
      <c r="D5" s="277" t="s">
        <v>23</v>
      </c>
      <c r="E5" s="277" t="s">
        <v>7</v>
      </c>
      <c r="F5" s="276" t="s">
        <v>11</v>
      </c>
      <c r="G5" s="278" t="s">
        <v>5</v>
      </c>
    </row>
    <row r="6" spans="2:7" ht="15" customHeight="1">
      <c r="B6" s="1216">
        <v>1</v>
      </c>
      <c r="C6" s="1216" t="s">
        <v>367</v>
      </c>
      <c r="D6" s="295"/>
      <c r="E6" s="295"/>
      <c r="F6" s="295"/>
      <c r="G6" s="303"/>
    </row>
    <row r="7" spans="2:7" ht="15" customHeight="1">
      <c r="B7" s="1206"/>
      <c r="C7" s="1206"/>
      <c r="D7" s="321"/>
      <c r="E7" s="280"/>
      <c r="F7" s="280"/>
      <c r="G7" s="358"/>
    </row>
    <row r="8" spans="2:7" ht="15" customHeight="1">
      <c r="B8" s="1206"/>
      <c r="C8" s="1206"/>
      <c r="D8" s="323"/>
      <c r="E8" s="280"/>
      <c r="F8" s="280"/>
      <c r="G8" s="330"/>
    </row>
    <row r="9" spans="2:7" ht="15" customHeight="1" thickBot="1">
      <c r="B9" s="1206"/>
      <c r="C9" s="1245"/>
      <c r="D9" s="326"/>
      <c r="E9" s="326"/>
      <c r="F9" s="326"/>
      <c r="G9" s="342"/>
    </row>
    <row r="10" spans="2:7" ht="12.75" thickBot="1">
      <c r="B10" s="285"/>
      <c r="C10" s="285"/>
      <c r="D10" s="298"/>
      <c r="E10" s="287"/>
      <c r="F10" s="287"/>
      <c r="G10" s="328">
        <f>SUM(G6:G9)</f>
        <v>0</v>
      </c>
    </row>
    <row r="11" spans="2:7" ht="15" customHeight="1">
      <c r="B11" s="1207">
        <v>2</v>
      </c>
      <c r="C11" s="1205" t="s">
        <v>404</v>
      </c>
      <c r="D11" s="323" t="s">
        <v>773</v>
      </c>
      <c r="E11" s="323" t="s">
        <v>755</v>
      </c>
      <c r="F11" s="323" t="s">
        <v>757</v>
      </c>
      <c r="G11" s="329">
        <v>2000000</v>
      </c>
    </row>
    <row r="12" spans="2:7" ht="15" customHeight="1">
      <c r="B12" s="1208"/>
      <c r="C12" s="1206"/>
      <c r="D12" s="337" t="s">
        <v>774</v>
      </c>
      <c r="E12" s="323" t="s">
        <v>755</v>
      </c>
      <c r="F12" s="323" t="s">
        <v>757</v>
      </c>
      <c r="G12" s="413">
        <v>3000000</v>
      </c>
    </row>
    <row r="13" spans="2:7" ht="15" customHeight="1">
      <c r="B13" s="1208"/>
      <c r="C13" s="1206"/>
      <c r="D13" s="323" t="s">
        <v>775</v>
      </c>
      <c r="E13" s="323" t="s">
        <v>755</v>
      </c>
      <c r="F13" s="323" t="s">
        <v>760</v>
      </c>
      <c r="G13" s="329">
        <v>3000000</v>
      </c>
    </row>
    <row r="14" spans="2:7" ht="15" customHeight="1">
      <c r="B14" s="1208"/>
      <c r="C14" s="1206"/>
      <c r="D14" s="323" t="s">
        <v>802</v>
      </c>
      <c r="E14" s="323" t="s">
        <v>782</v>
      </c>
      <c r="F14" s="323" t="s">
        <v>787</v>
      </c>
      <c r="G14" s="329">
        <v>2000000</v>
      </c>
    </row>
    <row r="15" spans="2:7" ht="15" customHeight="1">
      <c r="B15" s="1208"/>
      <c r="C15" s="1206"/>
      <c r="D15" s="337" t="s">
        <v>803</v>
      </c>
      <c r="E15" s="323" t="s">
        <v>782</v>
      </c>
      <c r="F15" s="337" t="s">
        <v>783</v>
      </c>
      <c r="G15" s="413">
        <v>3000000</v>
      </c>
    </row>
    <row r="16" spans="2:7" ht="15" customHeight="1">
      <c r="B16" s="1208"/>
      <c r="C16" s="1206"/>
      <c r="D16" s="323" t="s">
        <v>804</v>
      </c>
      <c r="E16" s="323" t="s">
        <v>782</v>
      </c>
      <c r="F16" s="323" t="s">
        <v>792</v>
      </c>
      <c r="G16" s="329">
        <v>1000000</v>
      </c>
    </row>
    <row r="17" spans="2:7" ht="15" customHeight="1">
      <c r="B17" s="1208"/>
      <c r="C17" s="1206"/>
      <c r="D17" s="323" t="s">
        <v>832</v>
      </c>
      <c r="E17" s="323" t="s">
        <v>814</v>
      </c>
      <c r="F17" s="323" t="s">
        <v>815</v>
      </c>
      <c r="G17" s="329">
        <v>1500000</v>
      </c>
    </row>
    <row r="18" spans="2:7" ht="15" customHeight="1">
      <c r="B18" s="1208"/>
      <c r="C18" s="1206"/>
      <c r="D18" s="337" t="s">
        <v>833</v>
      </c>
      <c r="E18" s="323" t="s">
        <v>814</v>
      </c>
      <c r="F18" s="323" t="s">
        <v>820</v>
      </c>
      <c r="G18" s="413">
        <v>1500000</v>
      </c>
    </row>
    <row r="19" spans="2:7" ht="15" customHeight="1">
      <c r="B19" s="1208"/>
      <c r="C19" s="1206"/>
      <c r="D19" s="323" t="s">
        <v>834</v>
      </c>
      <c r="E19" s="323" t="s">
        <v>814</v>
      </c>
      <c r="F19" s="323" t="s">
        <v>820</v>
      </c>
      <c r="G19" s="329">
        <v>1500000</v>
      </c>
    </row>
    <row r="20" spans="2:7" ht="15" customHeight="1">
      <c r="B20" s="1208"/>
      <c r="C20" s="1206"/>
      <c r="D20" s="323" t="s">
        <v>835</v>
      </c>
      <c r="E20" s="323" t="s">
        <v>814</v>
      </c>
      <c r="F20" s="323" t="s">
        <v>820</v>
      </c>
      <c r="G20" s="329">
        <v>1500000</v>
      </c>
    </row>
    <row r="21" spans="2:7" ht="15" customHeight="1">
      <c r="B21" s="1208"/>
      <c r="C21" s="1206"/>
      <c r="D21" s="337" t="s">
        <v>836</v>
      </c>
      <c r="E21" s="323" t="s">
        <v>814</v>
      </c>
      <c r="F21" s="337" t="s">
        <v>817</v>
      </c>
      <c r="G21" s="413">
        <v>1500000</v>
      </c>
    </row>
    <row r="22" spans="2:7" ht="15" customHeight="1" thickBot="1">
      <c r="B22" s="1208"/>
      <c r="C22" s="1206"/>
      <c r="D22" s="323"/>
      <c r="E22" s="326"/>
      <c r="F22" s="342"/>
      <c r="G22" s="342"/>
    </row>
    <row r="23" spans="2:7" ht="15" customHeight="1" thickBot="1">
      <c r="B23" s="285"/>
      <c r="C23" s="285"/>
      <c r="D23" s="298" t="s">
        <v>9</v>
      </c>
      <c r="E23" s="287"/>
      <c r="F23" s="287"/>
      <c r="G23" s="328">
        <f>SUM(G11:G22)</f>
        <v>21500000</v>
      </c>
    </row>
    <row r="24" spans="2:7" ht="15" customHeight="1">
      <c r="B24" s="1207">
        <v>3</v>
      </c>
      <c r="C24" s="1205" t="s">
        <v>0</v>
      </c>
      <c r="D24" s="256"/>
      <c r="E24" s="167"/>
      <c r="F24" s="163"/>
      <c r="G24" s="165"/>
    </row>
    <row r="25" spans="2:7" ht="15" customHeight="1">
      <c r="B25" s="1208"/>
      <c r="C25" s="1206"/>
      <c r="D25" s="323" t="s">
        <v>754</v>
      </c>
      <c r="E25" s="323" t="s">
        <v>755</v>
      </c>
      <c r="F25" s="323" t="s">
        <v>755</v>
      </c>
      <c r="G25" s="329">
        <v>10000000</v>
      </c>
    </row>
    <row r="26" spans="2:7" ht="15" customHeight="1">
      <c r="B26" s="1208"/>
      <c r="C26" s="1206"/>
      <c r="D26" s="337" t="s">
        <v>756</v>
      </c>
      <c r="E26" s="323" t="s">
        <v>755</v>
      </c>
      <c r="F26" s="323" t="s">
        <v>757</v>
      </c>
      <c r="G26" s="413">
        <v>1720000</v>
      </c>
    </row>
    <row r="27" spans="2:7" ht="15" customHeight="1">
      <c r="B27" s="1208"/>
      <c r="C27" s="1206"/>
      <c r="D27" s="323" t="s">
        <v>758</v>
      </c>
      <c r="E27" s="323" t="s">
        <v>755</v>
      </c>
      <c r="F27" s="323" t="s">
        <v>757</v>
      </c>
      <c r="G27" s="329">
        <v>1500000</v>
      </c>
    </row>
    <row r="28" spans="2:7" ht="15" customHeight="1">
      <c r="B28" s="1208"/>
      <c r="C28" s="1206"/>
      <c r="D28" s="337" t="s">
        <v>759</v>
      </c>
      <c r="E28" s="323" t="s">
        <v>755</v>
      </c>
      <c r="F28" s="323" t="s">
        <v>760</v>
      </c>
      <c r="G28" s="413">
        <v>2000000</v>
      </c>
    </row>
    <row r="29" spans="2:7" ht="15" customHeight="1">
      <c r="B29" s="1208"/>
      <c r="C29" s="1206"/>
      <c r="D29" s="323" t="s">
        <v>761</v>
      </c>
      <c r="E29" s="323" t="s">
        <v>755</v>
      </c>
      <c r="F29" s="323" t="s">
        <v>760</v>
      </c>
      <c r="G29" s="329">
        <v>2000000</v>
      </c>
    </row>
    <row r="30" spans="2:7" ht="15" customHeight="1">
      <c r="B30" s="1208"/>
      <c r="C30" s="1206"/>
      <c r="D30" s="337" t="s">
        <v>762</v>
      </c>
      <c r="E30" s="323" t="s">
        <v>755</v>
      </c>
      <c r="F30" s="323" t="s">
        <v>760</v>
      </c>
      <c r="G30" s="413">
        <v>1320000</v>
      </c>
    </row>
    <row r="31" spans="2:7" ht="15" customHeight="1">
      <c r="B31" s="1208"/>
      <c r="C31" s="1206"/>
      <c r="D31" s="323" t="s">
        <v>781</v>
      </c>
      <c r="E31" s="323" t="s">
        <v>782</v>
      </c>
      <c r="F31" s="323" t="s">
        <v>783</v>
      </c>
      <c r="G31" s="329">
        <v>5000000</v>
      </c>
    </row>
    <row r="32" spans="2:7" ht="15" customHeight="1">
      <c r="B32" s="1208"/>
      <c r="C32" s="1206"/>
      <c r="D32" s="337" t="s">
        <v>784</v>
      </c>
      <c r="E32" s="323" t="s">
        <v>782</v>
      </c>
      <c r="F32" s="337" t="s">
        <v>785</v>
      </c>
      <c r="G32" s="413">
        <v>3410000</v>
      </c>
    </row>
    <row r="33" spans="2:7" ht="15" customHeight="1">
      <c r="B33" s="1208"/>
      <c r="C33" s="1206"/>
      <c r="D33" s="323" t="s">
        <v>813</v>
      </c>
      <c r="E33" s="323" t="s">
        <v>814</v>
      </c>
      <c r="F33" s="323" t="s">
        <v>815</v>
      </c>
      <c r="G33" s="329">
        <v>5000000</v>
      </c>
    </row>
    <row r="34" spans="2:7" ht="15" customHeight="1">
      <c r="B34" s="1208"/>
      <c r="C34" s="1206"/>
      <c r="D34" s="337" t="s">
        <v>816</v>
      </c>
      <c r="E34" s="323" t="s">
        <v>814</v>
      </c>
      <c r="F34" s="337" t="s">
        <v>817</v>
      </c>
      <c r="G34" s="413">
        <v>2800000</v>
      </c>
    </row>
    <row r="35" spans="2:7" ht="15" customHeight="1">
      <c r="B35" s="1208"/>
      <c r="C35" s="1206"/>
      <c r="D35" s="323" t="s">
        <v>917</v>
      </c>
      <c r="E35" s="323" t="s">
        <v>814</v>
      </c>
      <c r="F35" s="323" t="s">
        <v>818</v>
      </c>
      <c r="G35" s="329">
        <v>2000000</v>
      </c>
    </row>
    <row r="36" spans="2:7" ht="15" customHeight="1" thickBot="1">
      <c r="B36" s="1208"/>
      <c r="C36" s="1206"/>
      <c r="D36" s="326"/>
      <c r="E36" s="326"/>
      <c r="F36" s="326"/>
      <c r="G36" s="327"/>
    </row>
    <row r="37" spans="2:7" ht="15" customHeight="1" thickBot="1">
      <c r="B37" s="332"/>
      <c r="C37" s="291"/>
      <c r="D37" s="292" t="s">
        <v>9</v>
      </c>
      <c r="E37" s="293"/>
      <c r="F37" s="293"/>
      <c r="G37" s="333">
        <f>SUM(G24:G36)</f>
        <v>36750000</v>
      </c>
    </row>
    <row r="38" spans="2:7" ht="15" customHeight="1">
      <c r="B38" s="1243">
        <v>4</v>
      </c>
      <c r="C38" s="1205" t="s">
        <v>848</v>
      </c>
      <c r="D38" s="176"/>
      <c r="E38" s="176"/>
      <c r="F38" s="176"/>
      <c r="G38" s="248"/>
    </row>
    <row r="39" spans="2:7" ht="15" customHeight="1">
      <c r="B39" s="1246"/>
      <c r="C39" s="1206"/>
      <c r="D39" s="431"/>
      <c r="E39" s="176"/>
      <c r="F39" s="176"/>
      <c r="G39" s="258"/>
    </row>
    <row r="40" spans="2:7" ht="15" customHeight="1" thickBot="1">
      <c r="B40" s="1246"/>
      <c r="C40" s="1206"/>
      <c r="D40" s="295"/>
      <c r="E40" s="295"/>
      <c r="F40" s="295"/>
      <c r="G40" s="303"/>
    </row>
    <row r="41" spans="2:7" ht="15" customHeight="1" thickBot="1">
      <c r="B41" s="291"/>
      <c r="C41" s="293"/>
      <c r="D41" s="292" t="s">
        <v>9</v>
      </c>
      <c r="E41" s="293"/>
      <c r="F41" s="293"/>
      <c r="G41" s="333">
        <f>SUM(G38:G40)</f>
        <v>0</v>
      </c>
    </row>
    <row r="42" spans="2:7" ht="15" customHeight="1">
      <c r="B42" s="1207">
        <v>5</v>
      </c>
      <c r="C42" s="1205" t="s">
        <v>390</v>
      </c>
      <c r="D42" s="323" t="s">
        <v>778</v>
      </c>
      <c r="E42" s="323" t="s">
        <v>755</v>
      </c>
      <c r="F42" s="323" t="s">
        <v>755</v>
      </c>
      <c r="G42" s="329">
        <v>4000000</v>
      </c>
    </row>
    <row r="43" spans="2:7" ht="15" customHeight="1">
      <c r="B43" s="1208"/>
      <c r="C43" s="1206"/>
      <c r="D43" s="323" t="s">
        <v>808</v>
      </c>
      <c r="E43" s="323" t="s">
        <v>782</v>
      </c>
      <c r="F43" s="323" t="s">
        <v>787</v>
      </c>
      <c r="G43" s="329">
        <v>3000000</v>
      </c>
    </row>
    <row r="44" spans="2:7" ht="15" customHeight="1">
      <c r="B44" s="1208"/>
      <c r="C44" s="1206"/>
      <c r="D44" s="337" t="s">
        <v>809</v>
      </c>
      <c r="E44" s="323" t="s">
        <v>782</v>
      </c>
      <c r="F44" s="337" t="s">
        <v>783</v>
      </c>
      <c r="G44" s="413">
        <v>2000000</v>
      </c>
    </row>
    <row r="45" spans="2:7" ht="15" customHeight="1">
      <c r="B45" s="1208"/>
      <c r="C45" s="1206"/>
      <c r="D45" s="323" t="s">
        <v>810</v>
      </c>
      <c r="E45" s="323" t="s">
        <v>782</v>
      </c>
      <c r="F45" s="323" t="s">
        <v>792</v>
      </c>
      <c r="G45" s="329">
        <v>4750000</v>
      </c>
    </row>
    <row r="46" spans="2:7" ht="21.75" customHeight="1">
      <c r="B46" s="1208"/>
      <c r="C46" s="1206"/>
      <c r="D46" s="323" t="s">
        <v>841</v>
      </c>
      <c r="E46" s="323" t="s">
        <v>842</v>
      </c>
      <c r="F46" s="323" t="s">
        <v>817</v>
      </c>
      <c r="G46" s="329">
        <v>3000000</v>
      </c>
    </row>
    <row r="47" spans="2:7" ht="15" customHeight="1" thickBot="1">
      <c r="B47" s="1208"/>
      <c r="C47" s="1206"/>
      <c r="D47" s="337" t="s">
        <v>843</v>
      </c>
      <c r="E47" s="323" t="s">
        <v>842</v>
      </c>
      <c r="F47" s="323" t="s">
        <v>818</v>
      </c>
      <c r="G47" s="413">
        <v>6000000</v>
      </c>
    </row>
    <row r="48" spans="2:7" ht="15" customHeight="1" thickBot="1">
      <c r="B48" s="291"/>
      <c r="C48" s="293"/>
      <c r="D48" s="292" t="s">
        <v>9</v>
      </c>
      <c r="E48" s="293"/>
      <c r="F48" s="293"/>
      <c r="G48" s="333">
        <f>SUM(G42:G47)</f>
        <v>22750000</v>
      </c>
    </row>
    <row r="49" spans="2:7" ht="15" customHeight="1">
      <c r="B49" s="1207">
        <v>6</v>
      </c>
      <c r="C49" s="1205" t="s">
        <v>399</v>
      </c>
      <c r="D49" s="323" t="s">
        <v>772</v>
      </c>
      <c r="E49" s="323" t="s">
        <v>755</v>
      </c>
      <c r="F49" s="323" t="s">
        <v>760</v>
      </c>
      <c r="G49" s="329">
        <v>3000000</v>
      </c>
    </row>
    <row r="50" spans="2:7" ht="15" customHeight="1">
      <c r="B50" s="1208"/>
      <c r="C50" s="1206"/>
      <c r="D50" s="323" t="s">
        <v>798</v>
      </c>
      <c r="E50" s="323" t="s">
        <v>782</v>
      </c>
      <c r="F50" s="323" t="s">
        <v>787</v>
      </c>
      <c r="G50" s="329">
        <v>2000000</v>
      </c>
    </row>
    <row r="51" spans="2:7" ht="15" customHeight="1">
      <c r="B51" s="1208"/>
      <c r="C51" s="1206"/>
      <c r="D51" s="337" t="s">
        <v>799</v>
      </c>
      <c r="E51" s="323" t="s">
        <v>782</v>
      </c>
      <c r="F51" s="337" t="s">
        <v>783</v>
      </c>
      <c r="G51" s="413">
        <v>3000000</v>
      </c>
    </row>
    <row r="52" spans="2:7" ht="15" customHeight="1">
      <c r="B52" s="1208"/>
      <c r="C52" s="1206"/>
      <c r="D52" s="323" t="s">
        <v>800</v>
      </c>
      <c r="E52" s="323" t="s">
        <v>782</v>
      </c>
      <c r="F52" s="323" t="s">
        <v>792</v>
      </c>
      <c r="G52" s="329">
        <v>1000000</v>
      </c>
    </row>
    <row r="53" spans="2:7" ht="15" customHeight="1">
      <c r="B53" s="1208"/>
      <c r="C53" s="1206"/>
      <c r="D53" s="337" t="s">
        <v>801</v>
      </c>
      <c r="E53" s="323" t="s">
        <v>782</v>
      </c>
      <c r="F53" s="337" t="s">
        <v>792</v>
      </c>
      <c r="G53" s="413">
        <v>4000000</v>
      </c>
    </row>
    <row r="54" spans="2:7" ht="15" customHeight="1">
      <c r="B54" s="1208"/>
      <c r="C54" s="1206"/>
      <c r="D54" s="323" t="s">
        <v>826</v>
      </c>
      <c r="E54" s="323" t="s">
        <v>814</v>
      </c>
      <c r="F54" s="323" t="s">
        <v>815</v>
      </c>
      <c r="G54" s="329">
        <v>1500000</v>
      </c>
    </row>
    <row r="55" spans="2:7" ht="15" customHeight="1">
      <c r="B55" s="1208"/>
      <c r="C55" s="1206"/>
      <c r="D55" s="337" t="s">
        <v>827</v>
      </c>
      <c r="E55" s="323" t="s">
        <v>814</v>
      </c>
      <c r="F55" s="323" t="s">
        <v>815</v>
      </c>
      <c r="G55" s="413">
        <v>1800000</v>
      </c>
    </row>
    <row r="56" spans="2:7" ht="15" customHeight="1">
      <c r="B56" s="1208"/>
      <c r="C56" s="1206"/>
      <c r="D56" s="323" t="s">
        <v>828</v>
      </c>
      <c r="E56" s="323" t="s">
        <v>814</v>
      </c>
      <c r="F56" s="323" t="s">
        <v>820</v>
      </c>
      <c r="G56" s="329">
        <v>8000000</v>
      </c>
    </row>
    <row r="57" spans="2:7" ht="15" customHeight="1">
      <c r="B57" s="1208"/>
      <c r="C57" s="1206"/>
      <c r="D57" s="323" t="s">
        <v>829</v>
      </c>
      <c r="E57" s="323" t="s">
        <v>814</v>
      </c>
      <c r="F57" s="323" t="s">
        <v>817</v>
      </c>
      <c r="G57" s="329">
        <v>5000000</v>
      </c>
    </row>
    <row r="58" spans="2:7" ht="15" customHeight="1">
      <c r="B58" s="1208"/>
      <c r="C58" s="1206"/>
      <c r="D58" s="337" t="s">
        <v>830</v>
      </c>
      <c r="E58" s="323" t="s">
        <v>814</v>
      </c>
      <c r="F58" s="337" t="s">
        <v>818</v>
      </c>
      <c r="G58" s="413">
        <v>5000000</v>
      </c>
    </row>
    <row r="59" spans="2:7" ht="15" customHeight="1">
      <c r="B59" s="1208"/>
      <c r="C59" s="1206"/>
      <c r="D59" s="323" t="s">
        <v>831</v>
      </c>
      <c r="E59" s="323" t="s">
        <v>814</v>
      </c>
      <c r="F59" s="323" t="s">
        <v>818</v>
      </c>
      <c r="G59" s="329">
        <v>2000000</v>
      </c>
    </row>
    <row r="60" spans="2:7" ht="15" customHeight="1" thickBot="1">
      <c r="B60" s="1214"/>
      <c r="C60" s="1215"/>
      <c r="D60" s="324"/>
      <c r="E60" s="323"/>
      <c r="F60" s="323"/>
      <c r="G60" s="330"/>
    </row>
    <row r="61" spans="2:7" ht="15" customHeight="1" thickBot="1">
      <c r="B61" s="285"/>
      <c r="C61" s="285"/>
      <c r="D61" s="298" t="s">
        <v>9</v>
      </c>
      <c r="E61" s="287"/>
      <c r="F61" s="287"/>
      <c r="G61" s="328">
        <f>SUM(G49:G60)</f>
        <v>36300000</v>
      </c>
    </row>
    <row r="62" spans="2:7" ht="15" customHeight="1">
      <c r="B62" s="1208"/>
      <c r="C62" s="1206"/>
      <c r="D62" s="323" t="s">
        <v>763</v>
      </c>
      <c r="E62" s="323" t="s">
        <v>755</v>
      </c>
      <c r="F62" s="323" t="s">
        <v>755</v>
      </c>
      <c r="G62" s="329">
        <v>1000000</v>
      </c>
    </row>
    <row r="63" spans="2:7" ht="15" customHeight="1">
      <c r="B63" s="1208"/>
      <c r="C63" s="1206"/>
      <c r="D63" s="337" t="s">
        <v>764</v>
      </c>
      <c r="E63" s="323" t="s">
        <v>755</v>
      </c>
      <c r="F63" s="323" t="s">
        <v>755</v>
      </c>
      <c r="G63" s="413">
        <v>1000000</v>
      </c>
    </row>
    <row r="64" spans="2:7" ht="15" customHeight="1">
      <c r="B64" s="1208"/>
      <c r="C64" s="1206"/>
      <c r="D64" s="323" t="s">
        <v>765</v>
      </c>
      <c r="E64" s="323" t="s">
        <v>755</v>
      </c>
      <c r="F64" s="323" t="s">
        <v>755</v>
      </c>
      <c r="G64" s="329">
        <f>1320000+31065</f>
        <v>1351065</v>
      </c>
    </row>
    <row r="65" spans="2:7" ht="15" customHeight="1">
      <c r="B65" s="1208"/>
      <c r="C65" s="1206"/>
      <c r="D65" s="337" t="s">
        <v>766</v>
      </c>
      <c r="E65" s="323" t="s">
        <v>755</v>
      </c>
      <c r="F65" s="323" t="s">
        <v>757</v>
      </c>
      <c r="G65" s="413">
        <v>4600000</v>
      </c>
    </row>
    <row r="66" spans="2:7" ht="15" customHeight="1">
      <c r="B66" s="1208"/>
      <c r="C66" s="1206"/>
      <c r="D66" s="323" t="s">
        <v>767</v>
      </c>
      <c r="E66" s="323" t="s">
        <v>755</v>
      </c>
      <c r="F66" s="323" t="s">
        <v>757</v>
      </c>
      <c r="G66" s="329">
        <v>2500000</v>
      </c>
    </row>
    <row r="67" spans="2:7" ht="15" customHeight="1">
      <c r="B67" s="1208"/>
      <c r="C67" s="1206"/>
      <c r="D67" s="337" t="s">
        <v>768</v>
      </c>
      <c r="E67" s="323" t="s">
        <v>755</v>
      </c>
      <c r="F67" s="323" t="s">
        <v>757</v>
      </c>
      <c r="G67" s="413">
        <v>1200000</v>
      </c>
    </row>
    <row r="68" spans="2:7" ht="15" customHeight="1">
      <c r="B68" s="1208"/>
      <c r="C68" s="1206"/>
      <c r="D68" s="323" t="s">
        <v>769</v>
      </c>
      <c r="E68" s="323" t="s">
        <v>755</v>
      </c>
      <c r="F68" s="323" t="s">
        <v>760</v>
      </c>
      <c r="G68" s="329">
        <v>4000000</v>
      </c>
    </row>
    <row r="69" spans="2:7" ht="15" customHeight="1">
      <c r="B69" s="1208"/>
      <c r="C69" s="1206"/>
      <c r="D69" s="337" t="s">
        <v>770</v>
      </c>
      <c r="E69" s="323" t="s">
        <v>755</v>
      </c>
      <c r="F69" s="323" t="s">
        <v>760</v>
      </c>
      <c r="G69" s="413">
        <v>2300000</v>
      </c>
    </row>
    <row r="70" spans="2:7" ht="15" customHeight="1">
      <c r="B70" s="1208"/>
      <c r="C70" s="1206"/>
      <c r="D70" s="323" t="s">
        <v>771</v>
      </c>
      <c r="E70" s="323" t="s">
        <v>755</v>
      </c>
      <c r="F70" s="323" t="s">
        <v>760</v>
      </c>
      <c r="G70" s="329">
        <v>2000000</v>
      </c>
    </row>
    <row r="71" spans="2:7" ht="15" customHeight="1">
      <c r="B71" s="1208"/>
      <c r="C71" s="1206"/>
      <c r="D71" s="323" t="s">
        <v>786</v>
      </c>
      <c r="E71" s="323" t="s">
        <v>782</v>
      </c>
      <c r="F71" s="323" t="s">
        <v>787</v>
      </c>
      <c r="G71" s="329">
        <v>5000000</v>
      </c>
    </row>
    <row r="72" spans="2:7" ht="15" customHeight="1">
      <c r="B72" s="1208"/>
      <c r="C72" s="1206"/>
      <c r="D72" s="337" t="s">
        <v>788</v>
      </c>
      <c r="E72" s="323" t="s">
        <v>782</v>
      </c>
      <c r="F72" s="337" t="s">
        <v>787</v>
      </c>
      <c r="G72" s="413">
        <v>3000000</v>
      </c>
    </row>
    <row r="73" spans="2:7" ht="15" customHeight="1">
      <c r="B73" s="1208"/>
      <c r="C73" s="1206"/>
      <c r="D73" s="323" t="s">
        <v>789</v>
      </c>
      <c r="E73" s="323" t="s">
        <v>782</v>
      </c>
      <c r="F73" s="323" t="s">
        <v>787</v>
      </c>
      <c r="G73" s="329">
        <v>1000000</v>
      </c>
    </row>
    <row r="74" spans="2:7" ht="15" customHeight="1">
      <c r="B74" s="1208"/>
      <c r="C74" s="1206"/>
      <c r="D74" s="337" t="s">
        <v>790</v>
      </c>
      <c r="E74" s="323" t="s">
        <v>782</v>
      </c>
      <c r="F74" s="337" t="s">
        <v>787</v>
      </c>
      <c r="G74" s="413">
        <v>3000000</v>
      </c>
    </row>
    <row r="75" spans="2:7" ht="15" customHeight="1">
      <c r="B75" s="1208"/>
      <c r="C75" s="1206"/>
      <c r="D75" s="323" t="s">
        <v>791</v>
      </c>
      <c r="E75" s="323" t="s">
        <v>782</v>
      </c>
      <c r="F75" s="323" t="s">
        <v>792</v>
      </c>
      <c r="G75" s="329">
        <v>3000000</v>
      </c>
    </row>
    <row r="76" spans="2:7" ht="15" customHeight="1">
      <c r="B76" s="1208"/>
      <c r="C76" s="1206"/>
      <c r="D76" s="337" t="s">
        <v>793</v>
      </c>
      <c r="E76" s="323" t="s">
        <v>782</v>
      </c>
      <c r="F76" s="337" t="s">
        <v>792</v>
      </c>
      <c r="G76" s="413">
        <v>2000000</v>
      </c>
    </row>
    <row r="77" spans="2:7" ht="15" customHeight="1">
      <c r="B77" s="1208"/>
      <c r="C77" s="1206"/>
      <c r="D77" s="323" t="s">
        <v>794</v>
      </c>
      <c r="E77" s="323" t="s">
        <v>782</v>
      </c>
      <c r="F77" s="323" t="s">
        <v>792</v>
      </c>
      <c r="G77" s="329">
        <v>2000000</v>
      </c>
    </row>
    <row r="78" spans="2:7" ht="15" customHeight="1">
      <c r="B78" s="1208"/>
      <c r="C78" s="1206"/>
      <c r="D78" s="337" t="s">
        <v>795</v>
      </c>
      <c r="E78" s="323" t="s">
        <v>782</v>
      </c>
      <c r="F78" s="337" t="s">
        <v>785</v>
      </c>
      <c r="G78" s="413">
        <v>12215000</v>
      </c>
    </row>
    <row r="79" spans="2:7" ht="15" customHeight="1">
      <c r="B79" s="1208"/>
      <c r="C79" s="1206"/>
      <c r="D79" s="323" t="s">
        <v>796</v>
      </c>
      <c r="E79" s="323" t="s">
        <v>782</v>
      </c>
      <c r="F79" s="323" t="s">
        <v>785</v>
      </c>
      <c r="G79" s="329">
        <v>3125000</v>
      </c>
    </row>
    <row r="80" spans="2:7" ht="15" customHeight="1">
      <c r="B80" s="1208"/>
      <c r="C80" s="1206"/>
      <c r="D80" s="323" t="s">
        <v>797</v>
      </c>
      <c r="E80" s="323" t="s">
        <v>782</v>
      </c>
      <c r="F80" s="323" t="s">
        <v>783</v>
      </c>
      <c r="G80" s="329">
        <v>3000000</v>
      </c>
    </row>
    <row r="81" spans="2:7" ht="15" customHeight="1">
      <c r="B81" s="1208"/>
      <c r="C81" s="1206"/>
      <c r="D81" s="323" t="s">
        <v>819</v>
      </c>
      <c r="E81" s="323" t="s">
        <v>814</v>
      </c>
      <c r="F81" s="323" t="s">
        <v>820</v>
      </c>
      <c r="G81" s="329">
        <v>4500000</v>
      </c>
    </row>
    <row r="82" spans="2:7" ht="15" customHeight="1">
      <c r="B82" s="1208"/>
      <c r="C82" s="1206"/>
      <c r="D82" s="337" t="s">
        <v>821</v>
      </c>
      <c r="E82" s="323" t="s">
        <v>814</v>
      </c>
      <c r="F82" s="337" t="s">
        <v>817</v>
      </c>
      <c r="G82" s="413">
        <v>2000000</v>
      </c>
    </row>
    <row r="83" spans="2:7" ht="15" customHeight="1">
      <c r="B83" s="1208"/>
      <c r="C83" s="1206"/>
      <c r="D83" s="323" t="s">
        <v>822</v>
      </c>
      <c r="E83" s="323" t="s">
        <v>814</v>
      </c>
      <c r="F83" s="323" t="s">
        <v>817</v>
      </c>
      <c r="G83" s="329">
        <v>1000000</v>
      </c>
    </row>
    <row r="84" spans="2:7" ht="15" customHeight="1">
      <c r="B84" s="1208"/>
      <c r="C84" s="1206"/>
      <c r="D84" s="323" t="s">
        <v>823</v>
      </c>
      <c r="E84" s="323" t="s">
        <v>814</v>
      </c>
      <c r="F84" s="323" t="s">
        <v>817</v>
      </c>
      <c r="G84" s="329">
        <v>1700000</v>
      </c>
    </row>
    <row r="85" spans="2:7" ht="15" customHeight="1">
      <c r="B85" s="1208"/>
      <c r="C85" s="1206"/>
      <c r="D85" s="337" t="s">
        <v>824</v>
      </c>
      <c r="E85" s="323" t="s">
        <v>814</v>
      </c>
      <c r="F85" s="337" t="s">
        <v>818</v>
      </c>
      <c r="G85" s="413">
        <v>1000000</v>
      </c>
    </row>
    <row r="86" spans="2:7" ht="15" customHeight="1" thickBot="1">
      <c r="B86" s="1208"/>
      <c r="C86" s="1206"/>
      <c r="D86" s="323" t="s">
        <v>825</v>
      </c>
      <c r="E86" s="323" t="s">
        <v>814</v>
      </c>
      <c r="F86" s="323" t="s">
        <v>818</v>
      </c>
      <c r="G86" s="329">
        <v>1000000</v>
      </c>
    </row>
    <row r="87" spans="2:7" ht="15" customHeight="1" thickBot="1">
      <c r="B87" s="291"/>
      <c r="C87" s="291"/>
      <c r="D87" s="292" t="s">
        <v>9</v>
      </c>
      <c r="E87" s="293"/>
      <c r="F87" s="293"/>
      <c r="G87" s="343">
        <f>SUM(G62:G86)</f>
        <v>68491065</v>
      </c>
    </row>
    <row r="88" spans="2:7" ht="15" customHeight="1">
      <c r="B88" s="1207">
        <v>8</v>
      </c>
      <c r="C88" s="1205" t="s">
        <v>190</v>
      </c>
      <c r="D88" s="225"/>
      <c r="E88" s="176"/>
      <c r="F88" s="176"/>
      <c r="G88" s="248"/>
    </row>
    <row r="89" spans="2:7" ht="15" customHeight="1">
      <c r="B89" s="1259"/>
      <c r="C89" s="1259"/>
      <c r="D89" s="431"/>
      <c r="E89" s="176"/>
      <c r="F89" s="176"/>
      <c r="G89" s="258"/>
    </row>
    <row r="90" spans="2:7" ht="15" customHeight="1" thickBot="1">
      <c r="B90" s="1260"/>
      <c r="C90" s="1260"/>
      <c r="D90" s="257"/>
      <c r="E90" s="176"/>
      <c r="F90" s="176"/>
      <c r="G90" s="258"/>
    </row>
    <row r="91" spans="2:7" ht="15" customHeight="1" thickBot="1">
      <c r="B91" s="285"/>
      <c r="C91" s="285"/>
      <c r="D91" s="298" t="s">
        <v>9</v>
      </c>
      <c r="E91" s="287"/>
      <c r="F91" s="287"/>
      <c r="G91" s="328">
        <f>SUM(G88:G90)</f>
        <v>0</v>
      </c>
    </row>
    <row r="92" spans="2:7" s="1" customFormat="1" ht="15" customHeight="1">
      <c r="B92" s="1207">
        <v>9</v>
      </c>
      <c r="C92" s="1205" t="s">
        <v>406</v>
      </c>
      <c r="D92" s="323" t="s">
        <v>776</v>
      </c>
      <c r="E92" s="323" t="s">
        <v>755</v>
      </c>
      <c r="F92" s="323" t="s">
        <v>757</v>
      </c>
      <c r="G92" s="329">
        <v>3300000</v>
      </c>
    </row>
    <row r="93" spans="2:7" s="1" customFormat="1" ht="15" customHeight="1">
      <c r="B93" s="1208"/>
      <c r="C93" s="1259"/>
      <c r="D93" s="323" t="s">
        <v>805</v>
      </c>
      <c r="E93" s="323" t="s">
        <v>782</v>
      </c>
      <c r="F93" s="323" t="s">
        <v>792</v>
      </c>
      <c r="G93" s="329">
        <v>2750000</v>
      </c>
    </row>
    <row r="94" spans="2:10" s="1" customFormat="1" ht="15" customHeight="1">
      <c r="B94" s="1208"/>
      <c r="C94" s="1259"/>
      <c r="D94" s="337" t="s">
        <v>806</v>
      </c>
      <c r="E94" s="323" t="s">
        <v>782</v>
      </c>
      <c r="F94" s="337" t="s">
        <v>792</v>
      </c>
      <c r="G94" s="413">
        <v>1000000</v>
      </c>
      <c r="J94" s="250"/>
    </row>
    <row r="95" spans="2:7" s="1" customFormat="1" ht="15" customHeight="1">
      <c r="B95" s="1208"/>
      <c r="C95" s="1259"/>
      <c r="D95" s="323" t="s">
        <v>838</v>
      </c>
      <c r="E95" s="323" t="s">
        <v>814</v>
      </c>
      <c r="F95" s="323" t="s">
        <v>815</v>
      </c>
      <c r="G95" s="329">
        <v>3600000</v>
      </c>
    </row>
    <row r="96" spans="2:7" ht="15" customHeight="1" thickBot="1">
      <c r="B96" s="1208"/>
      <c r="C96" s="1259"/>
      <c r="D96" s="337" t="s">
        <v>839</v>
      </c>
      <c r="E96" s="323" t="s">
        <v>814</v>
      </c>
      <c r="F96" s="323" t="s">
        <v>815</v>
      </c>
      <c r="G96" s="413">
        <v>3600000</v>
      </c>
    </row>
    <row r="97" spans="2:7" ht="15" customHeight="1" thickBot="1">
      <c r="B97" s="1208"/>
      <c r="C97" s="1259"/>
      <c r="D97" s="298" t="s">
        <v>9</v>
      </c>
      <c r="E97" s="287"/>
      <c r="F97" s="287"/>
      <c r="G97" s="328">
        <f>SUM(G92:G96)</f>
        <v>14250000</v>
      </c>
    </row>
    <row r="98" spans="2:7" ht="15" customHeight="1" thickBot="1">
      <c r="B98" s="1214"/>
      <c r="C98" s="1260"/>
      <c r="D98" s="323"/>
      <c r="E98" s="323"/>
      <c r="F98" s="323"/>
      <c r="G98" s="375"/>
    </row>
    <row r="99" spans="2:7" ht="15" customHeight="1" thickBot="1">
      <c r="B99" s="285"/>
      <c r="C99" s="285"/>
      <c r="D99" s="298" t="s">
        <v>959</v>
      </c>
      <c r="E99" s="287"/>
      <c r="F99" s="287"/>
      <c r="G99" s="328">
        <f>SUM(G97,G91,G87,G61,G48,,G37,G41,G23,G10)</f>
        <v>200041065</v>
      </c>
    </row>
  </sheetData>
  <sheetProtection/>
  <mergeCells count="21">
    <mergeCell ref="B1:G1"/>
    <mergeCell ref="B2:G2"/>
    <mergeCell ref="C3:G3"/>
    <mergeCell ref="B6:B9"/>
    <mergeCell ref="C6:C9"/>
    <mergeCell ref="B11:B22"/>
    <mergeCell ref="C11:C22"/>
    <mergeCell ref="B24:B36"/>
    <mergeCell ref="C24:C36"/>
    <mergeCell ref="B38:B40"/>
    <mergeCell ref="C38:C40"/>
    <mergeCell ref="B42:B47"/>
    <mergeCell ref="C42:C47"/>
    <mergeCell ref="B92:B98"/>
    <mergeCell ref="C92:C98"/>
    <mergeCell ref="B49:B60"/>
    <mergeCell ref="C49:C60"/>
    <mergeCell ref="B62:B86"/>
    <mergeCell ref="C62:C86"/>
    <mergeCell ref="B88:B90"/>
    <mergeCell ref="C88:C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1"/>
  <sheetViews>
    <sheetView zoomScale="90" zoomScaleNormal="90" zoomScalePageLayoutView="0" workbookViewId="0" topLeftCell="A1">
      <selection activeCell="D6" sqref="D6:G6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1" customWidth="1"/>
    <col min="8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/>
      <c r="C2" s="1143"/>
      <c r="D2" s="1143"/>
      <c r="E2" s="1143"/>
      <c r="F2" s="1143"/>
      <c r="G2" s="1143"/>
    </row>
    <row r="3" spans="2:7" ht="15" customHeight="1">
      <c r="B3" s="203"/>
      <c r="C3" s="1157" t="s">
        <v>847</v>
      </c>
      <c r="D3" s="1157"/>
      <c r="E3" s="1157"/>
      <c r="F3" s="1157"/>
      <c r="G3" s="1157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151">
        <v>1</v>
      </c>
      <c r="C6" s="1148" t="s">
        <v>404</v>
      </c>
      <c r="D6" s="187" t="s">
        <v>405</v>
      </c>
      <c r="E6" s="187" t="s">
        <v>388</v>
      </c>
      <c r="F6" s="187" t="s">
        <v>403</v>
      </c>
      <c r="G6" s="188">
        <v>2000000</v>
      </c>
    </row>
    <row r="7" spans="2:7" ht="15" customHeight="1">
      <c r="B7" s="1152"/>
      <c r="C7" s="1150"/>
      <c r="D7" s="170"/>
      <c r="E7" s="170"/>
      <c r="F7" s="170"/>
      <c r="G7" s="171"/>
    </row>
    <row r="8" spans="2:7" ht="15" customHeight="1" thickBot="1">
      <c r="B8" s="1153"/>
      <c r="C8" s="168"/>
      <c r="D8" s="170"/>
      <c r="E8" s="170"/>
      <c r="F8" s="170"/>
      <c r="G8" s="171"/>
    </row>
    <row r="9" spans="2:7" ht="15" customHeight="1" thickBot="1">
      <c r="B9" s="193"/>
      <c r="C9" s="194"/>
      <c r="D9" s="195" t="s">
        <v>9</v>
      </c>
      <c r="E9" s="196"/>
      <c r="F9" s="196"/>
      <c r="G9" s="197">
        <f>SUM(G6:G8)</f>
        <v>2000000</v>
      </c>
    </row>
    <row r="10" spans="2:7" ht="15" customHeight="1">
      <c r="B10" s="1154">
        <v>2</v>
      </c>
      <c r="C10" s="1148" t="s">
        <v>339</v>
      </c>
      <c r="D10" s="170" t="s">
        <v>394</v>
      </c>
      <c r="E10" s="170" t="s">
        <v>388</v>
      </c>
      <c r="F10" s="170" t="s">
        <v>392</v>
      </c>
      <c r="G10" s="171">
        <v>1000000</v>
      </c>
    </row>
    <row r="11" spans="2:7" ht="15" customHeight="1">
      <c r="B11" s="1152"/>
      <c r="C11" s="1149"/>
      <c r="D11" s="187" t="s">
        <v>401</v>
      </c>
      <c r="E11" s="187" t="s">
        <v>388</v>
      </c>
      <c r="F11" s="187" t="s">
        <v>398</v>
      </c>
      <c r="G11" s="188">
        <v>2000000</v>
      </c>
    </row>
    <row r="12" spans="2:7" ht="15" customHeight="1">
      <c r="B12" s="1152"/>
      <c r="C12" s="1149"/>
      <c r="D12" s="187" t="s">
        <v>402</v>
      </c>
      <c r="E12" s="187" t="s">
        <v>388</v>
      </c>
      <c r="F12" s="187" t="s">
        <v>403</v>
      </c>
      <c r="G12" s="188">
        <v>1300000</v>
      </c>
    </row>
    <row r="13" spans="2:7" ht="15" customHeight="1" thickBot="1">
      <c r="B13" s="1153"/>
      <c r="C13" s="172"/>
      <c r="D13" s="173"/>
      <c r="E13" s="173"/>
      <c r="F13" s="173"/>
      <c r="G13" s="174"/>
    </row>
    <row r="14" spans="2:7" ht="15" customHeight="1" thickBot="1">
      <c r="B14" s="183"/>
      <c r="C14" s="178"/>
      <c r="D14" s="179" t="s">
        <v>9</v>
      </c>
      <c r="E14" s="180"/>
      <c r="F14" s="180"/>
      <c r="G14" s="184">
        <f>SUM(G10:G13)</f>
        <v>4300000</v>
      </c>
    </row>
    <row r="15" spans="2:7" ht="15" customHeight="1">
      <c r="B15" s="1154">
        <v>3</v>
      </c>
      <c r="C15" s="1148" t="s">
        <v>390</v>
      </c>
      <c r="D15" s="176" t="s">
        <v>391</v>
      </c>
      <c r="E15" s="176" t="s">
        <v>388</v>
      </c>
      <c r="F15" s="176" t="s">
        <v>392</v>
      </c>
      <c r="G15" s="189">
        <v>1000000</v>
      </c>
    </row>
    <row r="16" spans="2:7" ht="15" customHeight="1">
      <c r="B16" s="1152"/>
      <c r="C16" s="1149"/>
      <c r="D16" s="187" t="s">
        <v>408</v>
      </c>
      <c r="E16" s="187" t="s">
        <v>388</v>
      </c>
      <c r="F16" s="187" t="s">
        <v>403</v>
      </c>
      <c r="G16" s="188">
        <v>4000000</v>
      </c>
    </row>
    <row r="17" spans="2:7" ht="15" customHeight="1">
      <c r="B17" s="1152"/>
      <c r="C17" s="1149"/>
      <c r="D17" s="187" t="s">
        <v>409</v>
      </c>
      <c r="E17" s="187" t="s">
        <v>388</v>
      </c>
      <c r="F17" s="187" t="s">
        <v>410</v>
      </c>
      <c r="G17" s="188">
        <v>4000000</v>
      </c>
    </row>
    <row r="18" spans="2:7" ht="15" customHeight="1">
      <c r="B18" s="1152"/>
      <c r="C18" s="1150"/>
      <c r="D18" s="167"/>
      <c r="E18" s="167"/>
      <c r="F18" s="167"/>
      <c r="G18" s="169"/>
    </row>
    <row r="19" spans="2:7" ht="15" customHeight="1" thickBot="1">
      <c r="B19" s="1153"/>
      <c r="C19" s="173"/>
      <c r="D19" s="187"/>
      <c r="E19" s="187"/>
      <c r="F19" s="187"/>
      <c r="G19" s="188"/>
    </row>
    <row r="20" spans="2:7" ht="15" customHeight="1" thickBot="1">
      <c r="B20" s="185"/>
      <c r="C20" s="180"/>
      <c r="D20" s="179" t="s">
        <v>9</v>
      </c>
      <c r="E20" s="180"/>
      <c r="F20" s="180"/>
      <c r="G20" s="184">
        <f>SUM(G15:G19)</f>
        <v>9000000</v>
      </c>
    </row>
    <row r="21" spans="2:7" ht="15" customHeight="1">
      <c r="B21" s="1154">
        <v>4</v>
      </c>
      <c r="C21" s="1156" t="s">
        <v>399</v>
      </c>
      <c r="D21" s="187" t="s">
        <v>400</v>
      </c>
      <c r="E21" s="187" t="s">
        <v>388</v>
      </c>
      <c r="F21" s="187" t="s">
        <v>398</v>
      </c>
      <c r="G21" s="188">
        <v>6000000</v>
      </c>
    </row>
    <row r="22" spans="2:7" ht="15" customHeight="1">
      <c r="B22" s="1152"/>
      <c r="C22" s="1149"/>
      <c r="D22" s="187" t="s">
        <v>413</v>
      </c>
      <c r="E22" s="187" t="s">
        <v>388</v>
      </c>
      <c r="F22" s="187" t="s">
        <v>410</v>
      </c>
      <c r="G22" s="188">
        <v>3000000</v>
      </c>
    </row>
    <row r="23" spans="2:7" ht="15" customHeight="1">
      <c r="B23" s="1152"/>
      <c r="C23" s="1150"/>
      <c r="D23" s="187"/>
      <c r="E23" s="187"/>
      <c r="F23" s="187"/>
      <c r="G23" s="188"/>
    </row>
    <row r="24" spans="2:7" ht="15" customHeight="1" thickBot="1">
      <c r="B24" s="1153"/>
      <c r="C24" s="172"/>
      <c r="D24" s="187"/>
      <c r="E24" s="187"/>
      <c r="F24" s="187"/>
      <c r="G24" s="188"/>
    </row>
    <row r="25" spans="2:7" ht="15" customHeight="1" thickBot="1">
      <c r="B25" s="193"/>
      <c r="C25" s="194"/>
      <c r="D25" s="195" t="s">
        <v>9</v>
      </c>
      <c r="E25" s="196"/>
      <c r="F25" s="196"/>
      <c r="G25" s="197">
        <f>SUM(G21:G24)</f>
        <v>9000000</v>
      </c>
    </row>
    <row r="26" spans="2:7" ht="15" customHeight="1">
      <c r="B26" s="1154">
        <v>5</v>
      </c>
      <c r="C26" s="1148" t="s">
        <v>346</v>
      </c>
      <c r="D26" s="167" t="s">
        <v>393</v>
      </c>
      <c r="E26" s="167" t="s">
        <v>388</v>
      </c>
      <c r="F26" s="167" t="s">
        <v>392</v>
      </c>
      <c r="G26" s="169">
        <v>2000000</v>
      </c>
    </row>
    <row r="27" spans="2:7" ht="15" customHeight="1">
      <c r="B27" s="1152"/>
      <c r="C27" s="1149"/>
      <c r="D27" s="170" t="s">
        <v>395</v>
      </c>
      <c r="E27" s="170" t="s">
        <v>388</v>
      </c>
      <c r="F27" s="170" t="s">
        <v>392</v>
      </c>
      <c r="G27" s="171">
        <v>3000000</v>
      </c>
    </row>
    <row r="28" spans="2:7" ht="15" customHeight="1">
      <c r="B28" s="1152"/>
      <c r="C28" s="1149"/>
      <c r="D28" s="170" t="s">
        <v>396</v>
      </c>
      <c r="E28" s="170" t="s">
        <v>388</v>
      </c>
      <c r="F28" s="170" t="s">
        <v>392</v>
      </c>
      <c r="G28" s="171">
        <v>3000000</v>
      </c>
    </row>
    <row r="29" spans="2:7" ht="15" customHeight="1">
      <c r="B29" s="1152"/>
      <c r="C29" s="1149"/>
      <c r="D29" s="170" t="s">
        <v>397</v>
      </c>
      <c r="E29" s="170" t="s">
        <v>388</v>
      </c>
      <c r="F29" s="170" t="s">
        <v>398</v>
      </c>
      <c r="G29" s="171">
        <v>4000000</v>
      </c>
    </row>
    <row r="30" spans="2:7" ht="15" customHeight="1">
      <c r="B30" s="1152"/>
      <c r="C30" s="1149"/>
      <c r="D30" s="187" t="s">
        <v>411</v>
      </c>
      <c r="E30" s="187" t="s">
        <v>388</v>
      </c>
      <c r="F30" s="187" t="s">
        <v>410</v>
      </c>
      <c r="G30" s="188">
        <v>2000000</v>
      </c>
    </row>
    <row r="31" spans="2:7" ht="15" customHeight="1">
      <c r="B31" s="1155"/>
      <c r="C31" s="1150"/>
      <c r="D31" s="187" t="s">
        <v>412</v>
      </c>
      <c r="E31" s="187" t="s">
        <v>388</v>
      </c>
      <c r="F31" s="187" t="s">
        <v>410</v>
      </c>
      <c r="G31" s="188">
        <v>700000</v>
      </c>
    </row>
    <row r="32" spans="2:7" ht="15" customHeight="1" thickBot="1">
      <c r="B32" s="172"/>
      <c r="C32" s="172"/>
      <c r="D32" s="173"/>
      <c r="E32" s="173"/>
      <c r="F32" s="173"/>
      <c r="G32" s="174"/>
    </row>
    <row r="33" spans="2:7" ht="15" customHeight="1" thickBot="1">
      <c r="B33" s="185"/>
      <c r="C33" s="178"/>
      <c r="D33" s="179" t="s">
        <v>9</v>
      </c>
      <c r="E33" s="180"/>
      <c r="F33" s="180"/>
      <c r="G33" s="186">
        <f>SUM(G26:G32)</f>
        <v>14700000</v>
      </c>
    </row>
    <row r="34" spans="2:7" ht="15" customHeight="1">
      <c r="B34" s="1154">
        <v>6</v>
      </c>
      <c r="C34" s="168"/>
      <c r="D34" s="170"/>
      <c r="E34" s="170"/>
      <c r="F34" s="170"/>
      <c r="G34" s="171"/>
    </row>
    <row r="35" spans="2:7" ht="15" customHeight="1">
      <c r="B35" s="1152"/>
      <c r="C35" s="1148" t="s">
        <v>406</v>
      </c>
      <c r="D35" s="187" t="s">
        <v>407</v>
      </c>
      <c r="E35" s="187" t="s">
        <v>388</v>
      </c>
      <c r="F35" s="187" t="s">
        <v>403</v>
      </c>
      <c r="G35" s="188">
        <v>4000000</v>
      </c>
    </row>
    <row r="36" spans="2:7" ht="15" customHeight="1">
      <c r="B36" s="1152"/>
      <c r="C36" s="1150"/>
      <c r="D36" s="170"/>
      <c r="E36" s="170"/>
      <c r="F36" s="170"/>
      <c r="G36" s="171"/>
    </row>
    <row r="37" spans="2:7" ht="15" customHeight="1" thickBot="1">
      <c r="B37" s="1153"/>
      <c r="C37" s="168"/>
      <c r="D37" s="170"/>
      <c r="E37" s="170"/>
      <c r="F37" s="170"/>
      <c r="G37" s="171"/>
    </row>
    <row r="38" spans="2:7" ht="15" customHeight="1" thickBot="1">
      <c r="B38" s="193"/>
      <c r="C38" s="194"/>
      <c r="D38" s="195" t="s">
        <v>9</v>
      </c>
      <c r="E38" s="196"/>
      <c r="F38" s="196"/>
      <c r="G38" s="197">
        <f>SUM(G34:G37)</f>
        <v>4000000</v>
      </c>
    </row>
    <row r="39" spans="2:7" ht="15" customHeight="1">
      <c r="B39" s="166"/>
      <c r="C39" s="168"/>
      <c r="D39" s="170"/>
      <c r="E39" s="170"/>
      <c r="F39" s="170"/>
      <c r="G39" s="171"/>
    </row>
    <row r="40" spans="2:7" ht="15" customHeight="1" thickBot="1">
      <c r="B40" s="166"/>
      <c r="C40" s="168"/>
      <c r="D40" s="170"/>
      <c r="E40" s="170"/>
      <c r="F40" s="170"/>
      <c r="G40" s="171"/>
    </row>
    <row r="41" spans="2:7" ht="15" customHeight="1" thickBot="1">
      <c r="B41" s="193"/>
      <c r="C41" s="194"/>
      <c r="D41" s="195" t="s">
        <v>420</v>
      </c>
      <c r="E41" s="196"/>
      <c r="F41" s="196"/>
      <c r="G41" s="197">
        <f>SUM(G38,G9,G25,G20,G14,G33)</f>
        <v>43000000</v>
      </c>
    </row>
  </sheetData>
  <sheetProtection/>
  <mergeCells count="15">
    <mergeCell ref="C6:C7"/>
    <mergeCell ref="C35:C36"/>
    <mergeCell ref="B1:G1"/>
    <mergeCell ref="B2:G2"/>
    <mergeCell ref="C3:G3"/>
    <mergeCell ref="C26:C31"/>
    <mergeCell ref="C10:C12"/>
    <mergeCell ref="C15:C18"/>
    <mergeCell ref="B6:B8"/>
    <mergeCell ref="B10:B13"/>
    <mergeCell ref="B15:B19"/>
    <mergeCell ref="B21:B24"/>
    <mergeCell ref="B26:B31"/>
    <mergeCell ref="B34:B37"/>
    <mergeCell ref="C21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04"/>
  <sheetViews>
    <sheetView tabSelected="1" view="pageBreakPreview" zoomScaleSheetLayoutView="100" zoomScalePageLayoutView="0" workbookViewId="0" topLeftCell="A1">
      <selection activeCell="B3" sqref="B3:G3"/>
    </sheetView>
  </sheetViews>
  <sheetFormatPr defaultColWidth="9.140625" defaultRowHeight="15" customHeight="1"/>
  <cols>
    <col min="1" max="1" width="2.8515625" style="440" customWidth="1"/>
    <col min="2" max="2" width="5.421875" style="440" customWidth="1"/>
    <col min="3" max="3" width="12.140625" style="440" customWidth="1"/>
    <col min="4" max="4" width="70.140625" style="458" bestFit="1" customWidth="1"/>
    <col min="5" max="5" width="17.28125" style="440" customWidth="1"/>
    <col min="6" max="6" width="20.8515625" style="440" customWidth="1"/>
    <col min="7" max="7" width="19.140625" style="672" customWidth="1"/>
    <col min="8" max="8" width="9.140625" style="440" customWidth="1"/>
    <col min="9" max="9" width="17.28125" style="1005" bestFit="1" customWidth="1"/>
    <col min="10" max="16384" width="9.140625" style="440" customWidth="1"/>
  </cols>
  <sheetData>
    <row r="1" spans="2:7" ht="15" customHeight="1">
      <c r="B1" s="1318" t="s">
        <v>987</v>
      </c>
      <c r="C1" s="1318"/>
      <c r="D1" s="1318"/>
      <c r="E1" s="1318"/>
      <c r="F1" s="1318"/>
      <c r="G1" s="1318"/>
    </row>
    <row r="2" spans="2:7" ht="15" customHeight="1">
      <c r="B2" s="1319" t="s">
        <v>1430</v>
      </c>
      <c r="C2" s="1319"/>
      <c r="D2" s="1319"/>
      <c r="E2" s="1319"/>
      <c r="F2" s="1319"/>
      <c r="G2" s="1319"/>
    </row>
    <row r="3" spans="2:7" ht="15" customHeight="1">
      <c r="B3" s="1302"/>
      <c r="C3" s="1303"/>
      <c r="D3" s="1303"/>
      <c r="E3" s="1303"/>
      <c r="F3" s="1303"/>
      <c r="G3" s="1304"/>
    </row>
    <row r="4" spans="2:7" ht="15" customHeight="1">
      <c r="B4" s="670"/>
      <c r="C4" s="1321" t="s">
        <v>483</v>
      </c>
      <c r="D4" s="1321"/>
      <c r="E4" s="1321"/>
      <c r="F4" s="1321"/>
      <c r="G4" s="1321"/>
    </row>
    <row r="5" ht="15" customHeight="1">
      <c r="B5" s="671"/>
    </row>
    <row r="6" spans="2:9" s="677" customFormat="1" ht="36.75" customHeight="1">
      <c r="B6" s="673" t="s">
        <v>993</v>
      </c>
      <c r="C6" s="674" t="s">
        <v>481</v>
      </c>
      <c r="D6" s="675" t="s">
        <v>988</v>
      </c>
      <c r="E6" s="675" t="s">
        <v>7</v>
      </c>
      <c r="F6" s="674" t="s">
        <v>712</v>
      </c>
      <c r="G6" s="676" t="s">
        <v>5</v>
      </c>
      <c r="I6" s="1006"/>
    </row>
    <row r="7" spans="2:7" ht="32.25" thickBot="1">
      <c r="B7" s="671">
        <v>1</v>
      </c>
      <c r="C7" s="898"/>
      <c r="D7" s="438" t="s">
        <v>1933</v>
      </c>
      <c r="E7" s="438" t="s">
        <v>2047</v>
      </c>
      <c r="F7" s="438" t="s">
        <v>2047</v>
      </c>
      <c r="G7" s="688">
        <v>50000000</v>
      </c>
    </row>
    <row r="8" spans="2:7" ht="15" customHeight="1" thickBot="1">
      <c r="B8" s="682"/>
      <c r="C8" s="683"/>
      <c r="D8" s="1280" t="s">
        <v>1998</v>
      </c>
      <c r="E8" s="1281"/>
      <c r="F8" s="1282"/>
      <c r="G8" s="448">
        <f>SUM(G7:G7)</f>
        <v>50000000</v>
      </c>
    </row>
    <row r="9" spans="2:7" ht="15" customHeight="1">
      <c r="B9" s="671"/>
      <c r="C9" s="680"/>
      <c r="D9" s="681"/>
      <c r="E9" s="681"/>
      <c r="F9" s="678"/>
      <c r="G9" s="679"/>
    </row>
    <row r="10" spans="2:7" ht="15" customHeight="1">
      <c r="B10" s="671"/>
      <c r="C10" s="1309" t="s">
        <v>989</v>
      </c>
      <c r="D10" s="1310"/>
      <c r="E10" s="1310"/>
      <c r="F10" s="1310"/>
      <c r="G10" s="1311"/>
    </row>
    <row r="11" spans="2:7" ht="15" customHeight="1">
      <c r="B11" s="671"/>
      <c r="C11" s="680"/>
      <c r="D11" s="681"/>
      <c r="E11" s="681"/>
      <c r="F11" s="678"/>
      <c r="G11" s="679"/>
    </row>
    <row r="12" spans="2:7" ht="33" customHeight="1">
      <c r="B12" s="684" t="s">
        <v>993</v>
      </c>
      <c r="C12" s="685" t="s">
        <v>481</v>
      </c>
      <c r="D12" s="686" t="s">
        <v>988</v>
      </c>
      <c r="E12" s="686" t="s">
        <v>7</v>
      </c>
      <c r="F12" s="685" t="s">
        <v>712</v>
      </c>
      <c r="G12" s="687" t="s">
        <v>5</v>
      </c>
    </row>
    <row r="13" spans="2:9" s="1046" customFormat="1" ht="15.75">
      <c r="B13" s="1275">
        <v>1</v>
      </c>
      <c r="C13" s="1322"/>
      <c r="D13" s="1053" t="s">
        <v>1950</v>
      </c>
      <c r="E13" s="1053" t="s">
        <v>1889</v>
      </c>
      <c r="F13" s="1053" t="s">
        <v>1889</v>
      </c>
      <c r="G13" s="1054">
        <f>7000000+78742341</f>
        <v>85742341</v>
      </c>
      <c r="I13" s="1048"/>
    </row>
    <row r="14" spans="2:7" ht="15.75">
      <c r="B14" s="1273"/>
      <c r="C14" s="1323"/>
      <c r="D14" s="438" t="s">
        <v>2016</v>
      </c>
      <c r="E14" s="438" t="s">
        <v>1889</v>
      </c>
      <c r="F14" s="438" t="s">
        <v>1889</v>
      </c>
      <c r="G14" s="688">
        <f>250000000-20000000</f>
        <v>230000000</v>
      </c>
    </row>
    <row r="15" spans="2:7" ht="15" customHeight="1">
      <c r="B15" s="1273"/>
      <c r="C15" s="1323"/>
      <c r="D15" s="438" t="s">
        <v>1996</v>
      </c>
      <c r="E15" s="438" t="s">
        <v>1958</v>
      </c>
      <c r="F15" s="678" t="s">
        <v>1958</v>
      </c>
      <c r="G15" s="688">
        <v>3000000</v>
      </c>
    </row>
    <row r="16" spans="2:7" ht="15" customHeight="1">
      <c r="B16" s="1273"/>
      <c r="C16" s="1323"/>
      <c r="D16" s="438" t="s">
        <v>2009</v>
      </c>
      <c r="E16" s="438" t="s">
        <v>1958</v>
      </c>
      <c r="F16" s="678" t="s">
        <v>1958</v>
      </c>
      <c r="G16" s="688">
        <v>3000000</v>
      </c>
    </row>
    <row r="17" spans="2:7" ht="15" customHeight="1">
      <c r="B17" s="1273"/>
      <c r="C17" s="1323"/>
      <c r="D17" s="438" t="s">
        <v>2170</v>
      </c>
      <c r="E17" s="438" t="s">
        <v>979</v>
      </c>
      <c r="F17" s="678" t="s">
        <v>359</v>
      </c>
      <c r="G17" s="688">
        <v>0</v>
      </c>
    </row>
    <row r="18" spans="2:7" ht="15" customHeight="1" thickBot="1">
      <c r="B18" s="1274"/>
      <c r="C18" s="1324"/>
      <c r="D18" s="438" t="s">
        <v>1999</v>
      </c>
      <c r="E18" s="438" t="s">
        <v>1958</v>
      </c>
      <c r="F18" s="678" t="s">
        <v>1958</v>
      </c>
      <c r="G18" s="688">
        <v>3000000</v>
      </c>
    </row>
    <row r="19" spans="2:7" ht="15" customHeight="1" thickBot="1">
      <c r="B19" s="682"/>
      <c r="C19" s="689"/>
      <c r="D19" s="1280" t="s">
        <v>1997</v>
      </c>
      <c r="E19" s="1281"/>
      <c r="F19" s="1282"/>
      <c r="G19" s="448">
        <f>SUM(G13:G18)</f>
        <v>324742341</v>
      </c>
    </row>
    <row r="20" spans="2:7" ht="15" customHeight="1">
      <c r="B20" s="671"/>
      <c r="C20" s="680"/>
      <c r="D20" s="681"/>
      <c r="E20" s="681"/>
      <c r="F20" s="678"/>
      <c r="G20" s="679"/>
    </row>
    <row r="21" spans="2:7" ht="15" customHeight="1">
      <c r="B21" s="671"/>
      <c r="C21" s="1300" t="s">
        <v>2051</v>
      </c>
      <c r="D21" s="1301"/>
      <c r="E21" s="1301"/>
      <c r="F21" s="1301"/>
      <c r="G21" s="1320"/>
    </row>
    <row r="22" spans="2:7" ht="15" customHeight="1">
      <c r="B22" s="671"/>
      <c r="C22" s="680"/>
      <c r="D22" s="681"/>
      <c r="E22" s="681"/>
      <c r="F22" s="678"/>
      <c r="G22" s="679"/>
    </row>
    <row r="23" spans="2:9" s="677" customFormat="1" ht="35.25" customHeight="1">
      <c r="B23" s="690" t="s">
        <v>993</v>
      </c>
      <c r="C23" s="674" t="s">
        <v>481</v>
      </c>
      <c r="D23" s="675" t="s">
        <v>988</v>
      </c>
      <c r="E23" s="675" t="s">
        <v>7</v>
      </c>
      <c r="F23" s="674" t="s">
        <v>712</v>
      </c>
      <c r="G23" s="676" t="s">
        <v>5</v>
      </c>
      <c r="I23" s="1006"/>
    </row>
    <row r="24" spans="2:7" ht="31.5">
      <c r="B24" s="1275">
        <v>1</v>
      </c>
      <c r="C24" s="1312"/>
      <c r="D24" s="438" t="s">
        <v>1955</v>
      </c>
      <c r="E24" s="438" t="s">
        <v>1864</v>
      </c>
      <c r="F24" s="678" t="s">
        <v>1864</v>
      </c>
      <c r="G24" s="688">
        <v>25000000</v>
      </c>
    </row>
    <row r="25" spans="2:7" ht="15" customHeight="1">
      <c r="B25" s="1273"/>
      <c r="C25" s="1313"/>
      <c r="D25" s="438" t="s">
        <v>2010</v>
      </c>
      <c r="E25" s="438" t="s">
        <v>1864</v>
      </c>
      <c r="F25" s="678" t="s">
        <v>1864</v>
      </c>
      <c r="G25" s="688">
        <v>5000000</v>
      </c>
    </row>
    <row r="26" spans="2:7" ht="15" customHeight="1">
      <c r="B26" s="1273"/>
      <c r="C26" s="1313"/>
      <c r="D26" s="438" t="s">
        <v>2011</v>
      </c>
      <c r="E26" s="438" t="s">
        <v>2045</v>
      </c>
      <c r="F26" s="678" t="s">
        <v>2045</v>
      </c>
      <c r="G26" s="688">
        <v>5000000</v>
      </c>
    </row>
    <row r="27" spans="2:7" ht="15" customHeight="1" thickBot="1">
      <c r="B27" s="1273"/>
      <c r="C27" s="1313"/>
      <c r="D27" s="438" t="s">
        <v>2013</v>
      </c>
      <c r="E27" s="438" t="s">
        <v>1864</v>
      </c>
      <c r="F27" s="678" t="s">
        <v>1864</v>
      </c>
      <c r="G27" s="688">
        <v>10000000</v>
      </c>
    </row>
    <row r="28" spans="2:7" ht="15" customHeight="1" thickBot="1">
      <c r="B28" s="682"/>
      <c r="C28" s="683"/>
      <c r="D28" s="1280" t="s">
        <v>992</v>
      </c>
      <c r="E28" s="1281"/>
      <c r="F28" s="1282"/>
      <c r="G28" s="448">
        <f>SUM(G24:G27)</f>
        <v>45000000</v>
      </c>
    </row>
    <row r="29" spans="2:7" ht="15" customHeight="1">
      <c r="B29" s="1339"/>
      <c r="C29" s="1341"/>
      <c r="D29" s="1342"/>
      <c r="E29" s="1342"/>
      <c r="F29" s="1342"/>
      <c r="G29" s="1343"/>
    </row>
    <row r="30" spans="2:7" ht="15" customHeight="1">
      <c r="B30" s="1323"/>
      <c r="C30" s="1300" t="s">
        <v>969</v>
      </c>
      <c r="D30" s="1301"/>
      <c r="E30" s="1301"/>
      <c r="F30" s="1301"/>
      <c r="G30" s="1320"/>
    </row>
    <row r="31" spans="2:7" ht="15" customHeight="1">
      <c r="B31" s="1340"/>
      <c r="C31" s="1317"/>
      <c r="D31" s="1298"/>
      <c r="E31" s="1298"/>
      <c r="F31" s="1298"/>
      <c r="G31" s="1326"/>
    </row>
    <row r="32" spans="2:9" s="677" customFormat="1" ht="31.5">
      <c r="B32" s="690" t="s">
        <v>993</v>
      </c>
      <c r="C32" s="674" t="s">
        <v>481</v>
      </c>
      <c r="D32" s="675" t="s">
        <v>988</v>
      </c>
      <c r="E32" s="675" t="s">
        <v>7</v>
      </c>
      <c r="F32" s="674" t="s">
        <v>712</v>
      </c>
      <c r="G32" s="676" t="s">
        <v>5</v>
      </c>
      <c r="I32" s="1006"/>
    </row>
    <row r="33" spans="2:9" s="677" customFormat="1" ht="31.5" customHeight="1">
      <c r="B33" s="1275">
        <v>1</v>
      </c>
      <c r="C33" s="1299" t="s">
        <v>961</v>
      </c>
      <c r="D33" s="691" t="s">
        <v>2053</v>
      </c>
      <c r="E33" s="691" t="s">
        <v>309</v>
      </c>
      <c r="F33" s="942" t="s">
        <v>2054</v>
      </c>
      <c r="G33" s="943">
        <v>5000000</v>
      </c>
      <c r="I33" s="1006"/>
    </row>
    <row r="34" spans="2:9" s="677" customFormat="1" ht="15.75">
      <c r="B34" s="1273"/>
      <c r="C34" s="1279"/>
      <c r="D34" s="442" t="s">
        <v>1862</v>
      </c>
      <c r="E34" s="442" t="s">
        <v>309</v>
      </c>
      <c r="F34" s="442" t="s">
        <v>871</v>
      </c>
      <c r="G34" s="443">
        <v>8000000</v>
      </c>
      <c r="I34" s="1006"/>
    </row>
    <row r="35" spans="2:9" s="677" customFormat="1" ht="15.75" customHeight="1">
      <c r="B35" s="1273"/>
      <c r="C35" s="1279"/>
      <c r="D35" s="751" t="s">
        <v>1433</v>
      </c>
      <c r="E35" s="751" t="s">
        <v>194</v>
      </c>
      <c r="F35" s="752" t="s">
        <v>194</v>
      </c>
      <c r="G35" s="753">
        <v>800000</v>
      </c>
      <c r="I35" s="1006"/>
    </row>
    <row r="36" spans="2:9" s="1051" customFormat="1" ht="15.75">
      <c r="B36" s="1273"/>
      <c r="C36" s="1279"/>
      <c r="D36" s="1121" t="s">
        <v>2340</v>
      </c>
      <c r="E36" s="1121" t="s">
        <v>538</v>
      </c>
      <c r="F36" s="1121" t="s">
        <v>2341</v>
      </c>
      <c r="G36" s="1122">
        <v>4000000</v>
      </c>
      <c r="I36" s="1052"/>
    </row>
    <row r="37" spans="2:7" ht="16.5" thickBot="1">
      <c r="B37" s="1274"/>
      <c r="C37" s="1294"/>
      <c r="D37" s="776" t="s">
        <v>1962</v>
      </c>
      <c r="E37" s="776" t="s">
        <v>567</v>
      </c>
      <c r="F37" s="776" t="s">
        <v>567</v>
      </c>
      <c r="G37" s="777">
        <v>1500000</v>
      </c>
    </row>
    <row r="38" spans="2:7" ht="15" customHeight="1" thickBot="1">
      <c r="B38" s="450"/>
      <c r="C38" s="450"/>
      <c r="D38" s="1314" t="s">
        <v>9</v>
      </c>
      <c r="E38" s="1315"/>
      <c r="F38" s="1316"/>
      <c r="G38" s="1103">
        <f>SUM(G33:G37)</f>
        <v>19300000</v>
      </c>
    </row>
    <row r="39" spans="2:7" ht="15" customHeight="1">
      <c r="B39" s="1278">
        <v>2</v>
      </c>
      <c r="C39" s="1278" t="s">
        <v>960</v>
      </c>
      <c r="D39" s="944" t="s">
        <v>2055</v>
      </c>
      <c r="E39" s="693" t="s">
        <v>427</v>
      </c>
      <c r="F39" s="945" t="s">
        <v>428</v>
      </c>
      <c r="G39" s="703">
        <v>5000000</v>
      </c>
    </row>
    <row r="40" spans="2:7" ht="15" customHeight="1">
      <c r="B40" s="1273"/>
      <c r="C40" s="1273"/>
      <c r="D40" s="442" t="s">
        <v>1437</v>
      </c>
      <c r="E40" s="442" t="s">
        <v>427</v>
      </c>
      <c r="F40" s="442" t="s">
        <v>430</v>
      </c>
      <c r="G40" s="443">
        <v>3000000</v>
      </c>
    </row>
    <row r="41" spans="2:7" ht="15.75" customHeight="1">
      <c r="B41" s="1273"/>
      <c r="C41" s="1273"/>
      <c r="D41" s="442" t="s">
        <v>1963</v>
      </c>
      <c r="E41" s="442" t="s">
        <v>363</v>
      </c>
      <c r="F41" s="442" t="s">
        <v>368</v>
      </c>
      <c r="G41" s="443">
        <v>4000000</v>
      </c>
    </row>
    <row r="42" spans="2:7" ht="15.75">
      <c r="B42" s="1273"/>
      <c r="C42" s="1273"/>
      <c r="D42" s="442" t="s">
        <v>1435</v>
      </c>
      <c r="E42" s="442" t="s">
        <v>464</v>
      </c>
      <c r="F42" s="442" t="s">
        <v>1436</v>
      </c>
      <c r="G42" s="443">
        <v>3000000</v>
      </c>
    </row>
    <row r="43" spans="2:7" ht="15.75">
      <c r="B43" s="1273"/>
      <c r="C43" s="1273"/>
      <c r="D43" s="442" t="s">
        <v>2015</v>
      </c>
      <c r="E43" s="442" t="s">
        <v>442</v>
      </c>
      <c r="F43" s="442" t="s">
        <v>1438</v>
      </c>
      <c r="G43" s="443">
        <v>2000000</v>
      </c>
    </row>
    <row r="44" spans="2:7" ht="16.5" thickBot="1">
      <c r="B44" s="1273"/>
      <c r="C44" s="1273"/>
      <c r="D44" s="442" t="s">
        <v>1439</v>
      </c>
      <c r="E44" s="442" t="s">
        <v>442</v>
      </c>
      <c r="F44" s="442" t="s">
        <v>1440</v>
      </c>
      <c r="G44" s="443">
        <v>5000000</v>
      </c>
    </row>
    <row r="45" spans="2:7" ht="15" customHeight="1" thickBot="1">
      <c r="B45" s="450"/>
      <c r="C45" s="450"/>
      <c r="D45" s="1280" t="s">
        <v>9</v>
      </c>
      <c r="E45" s="1281"/>
      <c r="F45" s="1282"/>
      <c r="G45" s="448">
        <f>SUM(G39:G44)</f>
        <v>22000000</v>
      </c>
    </row>
    <row r="46" spans="2:7" ht="15" customHeight="1">
      <c r="B46" s="1278">
        <v>3</v>
      </c>
      <c r="C46" s="1293" t="s">
        <v>962</v>
      </c>
      <c r="D46" s="442" t="s">
        <v>1967</v>
      </c>
      <c r="E46" s="442" t="s">
        <v>682</v>
      </c>
      <c r="F46" s="442" t="s">
        <v>1861</v>
      </c>
      <c r="G46" s="443">
        <v>10000000</v>
      </c>
    </row>
    <row r="47" spans="2:7" ht="15" customHeight="1">
      <c r="B47" s="1273"/>
      <c r="C47" s="1279"/>
      <c r="D47" s="761" t="s">
        <v>1445</v>
      </c>
      <c r="E47" s="762" t="s">
        <v>682</v>
      </c>
      <c r="F47" s="762" t="s">
        <v>1446</v>
      </c>
      <c r="G47" s="825">
        <v>4000000</v>
      </c>
    </row>
    <row r="48" spans="2:7" ht="15.75" customHeight="1">
      <c r="B48" s="1273"/>
      <c r="C48" s="1279"/>
      <c r="D48" s="438" t="s">
        <v>1964</v>
      </c>
      <c r="E48" s="438" t="s">
        <v>594</v>
      </c>
      <c r="F48" s="438" t="s">
        <v>594</v>
      </c>
      <c r="G48" s="439">
        <v>2000000</v>
      </c>
    </row>
    <row r="49" spans="2:7" ht="15" customHeight="1">
      <c r="B49" s="1273"/>
      <c r="C49" s="1279"/>
      <c r="D49" s="442" t="s">
        <v>1441</v>
      </c>
      <c r="E49" s="442" t="s">
        <v>594</v>
      </c>
      <c r="F49" s="442" t="s">
        <v>594</v>
      </c>
      <c r="G49" s="439">
        <v>2000000</v>
      </c>
    </row>
    <row r="50" spans="2:7" ht="15" customHeight="1">
      <c r="B50" s="1273"/>
      <c r="C50" s="1279"/>
      <c r="D50" s="438" t="s">
        <v>1442</v>
      </c>
      <c r="E50" s="438" t="s">
        <v>594</v>
      </c>
      <c r="F50" s="438" t="s">
        <v>594</v>
      </c>
      <c r="G50" s="439">
        <v>500000</v>
      </c>
    </row>
    <row r="51" spans="2:7" ht="15" customHeight="1">
      <c r="B51" s="1273"/>
      <c r="C51" s="1279"/>
      <c r="D51" s="438" t="s">
        <v>1443</v>
      </c>
      <c r="E51" s="438" t="s">
        <v>1444</v>
      </c>
      <c r="F51" s="438" t="s">
        <v>1444</v>
      </c>
      <c r="G51" s="439">
        <v>5000000</v>
      </c>
    </row>
    <row r="52" spans="2:7" ht="31.5">
      <c r="B52" s="1273"/>
      <c r="C52" s="1279"/>
      <c r="D52" s="763" t="s">
        <v>1966</v>
      </c>
      <c r="E52" s="763" t="s">
        <v>719</v>
      </c>
      <c r="F52" s="763" t="s">
        <v>720</v>
      </c>
      <c r="G52" s="764">
        <v>1000000</v>
      </c>
    </row>
    <row r="53" spans="2:7" ht="16.5" customHeight="1" thickBot="1">
      <c r="B53" s="1274"/>
      <c r="C53" s="1294"/>
      <c r="D53" s="763" t="s">
        <v>1965</v>
      </c>
      <c r="E53" s="763" t="s">
        <v>719</v>
      </c>
      <c r="F53" s="763" t="s">
        <v>1449</v>
      </c>
      <c r="G53" s="764">
        <v>3000000</v>
      </c>
    </row>
    <row r="54" spans="2:7" ht="15" customHeight="1" thickBot="1">
      <c r="B54" s="450"/>
      <c r="C54" s="450"/>
      <c r="D54" s="1280" t="s">
        <v>9</v>
      </c>
      <c r="E54" s="1281"/>
      <c r="F54" s="1282"/>
      <c r="G54" s="448">
        <f>SUM(G46:G53)</f>
        <v>27500000</v>
      </c>
    </row>
    <row r="55" spans="2:7" ht="30.75" customHeight="1" thickBot="1">
      <c r="B55" s="984">
        <v>4</v>
      </c>
      <c r="C55" s="984" t="s">
        <v>2202</v>
      </c>
      <c r="D55" s="438" t="s">
        <v>2052</v>
      </c>
      <c r="E55" s="438" t="s">
        <v>814</v>
      </c>
      <c r="F55" s="438" t="s">
        <v>2182</v>
      </c>
      <c r="G55" s="439">
        <v>15000000</v>
      </c>
    </row>
    <row r="56" spans="2:7" ht="15" customHeight="1" thickBot="1">
      <c r="B56" s="450"/>
      <c r="C56" s="450"/>
      <c r="D56" s="1280" t="s">
        <v>9</v>
      </c>
      <c r="E56" s="1281"/>
      <c r="F56" s="1282"/>
      <c r="G56" s="448">
        <f>SUM(G55:G55)</f>
        <v>15000000</v>
      </c>
    </row>
    <row r="57" spans="2:9" s="940" customFormat="1" ht="15.75" customHeight="1">
      <c r="B57" s="1305">
        <v>5</v>
      </c>
      <c r="C57" s="1276" t="s">
        <v>973</v>
      </c>
      <c r="D57" s="442" t="s">
        <v>2220</v>
      </c>
      <c r="E57" s="442" t="s">
        <v>567</v>
      </c>
      <c r="F57" s="442" t="s">
        <v>567</v>
      </c>
      <c r="G57" s="443">
        <v>10000000</v>
      </c>
      <c r="I57" s="1008"/>
    </row>
    <row r="58" spans="2:7" ht="15.75">
      <c r="B58" s="1306"/>
      <c r="C58" s="1277"/>
      <c r="D58" s="442" t="s">
        <v>1951</v>
      </c>
      <c r="E58" s="442" t="s">
        <v>1864</v>
      </c>
      <c r="F58" s="442" t="s">
        <v>1864</v>
      </c>
      <c r="G58" s="443">
        <v>20000000</v>
      </c>
    </row>
    <row r="59" spans="2:7" ht="15.75">
      <c r="B59" s="1306"/>
      <c r="C59" s="1277"/>
      <c r="D59" s="442" t="s">
        <v>2020</v>
      </c>
      <c r="E59" s="442" t="s">
        <v>979</v>
      </c>
      <c r="F59" s="442" t="s">
        <v>979</v>
      </c>
      <c r="G59" s="443">
        <v>5000000</v>
      </c>
    </row>
    <row r="60" spans="2:7" ht="31.5">
      <c r="B60" s="1306"/>
      <c r="C60" s="1277"/>
      <c r="D60" s="442" t="s">
        <v>1952</v>
      </c>
      <c r="E60" s="442" t="s">
        <v>1864</v>
      </c>
      <c r="F60" s="442" t="s">
        <v>1864</v>
      </c>
      <c r="G60" s="443">
        <v>6000000</v>
      </c>
    </row>
    <row r="61" spans="2:7" ht="15.75">
      <c r="B61" s="1306"/>
      <c r="C61" s="1277"/>
      <c r="D61" s="442" t="s">
        <v>1953</v>
      </c>
      <c r="E61" s="442" t="s">
        <v>2201</v>
      </c>
      <c r="F61" s="442" t="s">
        <v>2201</v>
      </c>
      <c r="G61" s="439">
        <v>5000000</v>
      </c>
    </row>
    <row r="62" spans="2:7" ht="16.5" thickBot="1">
      <c r="B62" s="1306"/>
      <c r="C62" s="1277"/>
      <c r="D62" s="438" t="s">
        <v>2167</v>
      </c>
      <c r="E62" s="442" t="s">
        <v>2201</v>
      </c>
      <c r="F62" s="442" t="s">
        <v>2201</v>
      </c>
      <c r="G62" s="439">
        <v>15000000</v>
      </c>
    </row>
    <row r="63" spans="2:9" s="1003" customFormat="1" ht="15" customHeight="1" thickBot="1">
      <c r="B63" s="1001"/>
      <c r="C63" s="1002"/>
      <c r="D63" s="1280" t="s">
        <v>9</v>
      </c>
      <c r="E63" s="1281"/>
      <c r="F63" s="1282"/>
      <c r="G63" s="448">
        <f>SUM(G57:G62)</f>
        <v>61000000</v>
      </c>
      <c r="I63" s="1009"/>
    </row>
    <row r="64" spans="2:7" ht="15" customHeight="1" thickBot="1">
      <c r="B64" s="694"/>
      <c r="C64" s="695"/>
      <c r="D64" s="1284" t="s">
        <v>970</v>
      </c>
      <c r="E64" s="1284"/>
      <c r="F64" s="1284"/>
      <c r="G64" s="696">
        <f>SUM(G63,G54,G45,G38,G56)</f>
        <v>144800000</v>
      </c>
    </row>
    <row r="65" spans="2:7" ht="15" customHeight="1">
      <c r="B65" s="697"/>
      <c r="C65" s="692"/>
      <c r="D65" s="698"/>
      <c r="E65" s="438"/>
      <c r="F65" s="438"/>
      <c r="G65" s="699"/>
    </row>
    <row r="66" spans="2:7" ht="15" customHeight="1">
      <c r="B66" s="680"/>
      <c r="C66" s="1300" t="s">
        <v>482</v>
      </c>
      <c r="D66" s="1301"/>
      <c r="E66" s="1301"/>
      <c r="F66" s="1301"/>
      <c r="G66" s="1301"/>
    </row>
    <row r="67" spans="2:7" ht="15" customHeight="1">
      <c r="B67" s="680"/>
      <c r="C67" s="681"/>
      <c r="D67" s="681"/>
      <c r="E67" s="678"/>
      <c r="F67" s="679"/>
      <c r="G67" s="700"/>
    </row>
    <row r="68" spans="2:9" s="677" customFormat="1" ht="35.25" customHeight="1">
      <c r="B68" s="690" t="s">
        <v>4</v>
      </c>
      <c r="C68" s="674" t="s">
        <v>481</v>
      </c>
      <c r="D68" s="675" t="s">
        <v>988</v>
      </c>
      <c r="E68" s="675" t="s">
        <v>7</v>
      </c>
      <c r="F68" s="674" t="s">
        <v>712</v>
      </c>
      <c r="G68" s="676" t="s">
        <v>5</v>
      </c>
      <c r="I68" s="1006"/>
    </row>
    <row r="69" spans="2:7" ht="15.75">
      <c r="B69" s="1279">
        <v>1</v>
      </c>
      <c r="C69" s="1279"/>
      <c r="D69" s="438" t="s">
        <v>1957</v>
      </c>
      <c r="E69" s="438" t="s">
        <v>1958</v>
      </c>
      <c r="F69" s="678" t="s">
        <v>1958</v>
      </c>
      <c r="G69" s="701">
        <v>5000000</v>
      </c>
    </row>
    <row r="70" spans="2:7" ht="15" customHeight="1" thickBot="1">
      <c r="B70" s="1279"/>
      <c r="C70" s="1279"/>
      <c r="D70" s="438" t="s">
        <v>1959</v>
      </c>
      <c r="E70" s="678" t="s">
        <v>1958</v>
      </c>
      <c r="F70" s="678" t="s">
        <v>1958</v>
      </c>
      <c r="G70" s="899">
        <v>4000000</v>
      </c>
    </row>
    <row r="71" spans="2:7" ht="15" customHeight="1" thickBot="1">
      <c r="B71" s="702"/>
      <c r="C71" s="447"/>
      <c r="D71" s="1280" t="s">
        <v>975</v>
      </c>
      <c r="E71" s="1281"/>
      <c r="F71" s="1282"/>
      <c r="G71" s="448">
        <f>SUM(G69:G70)</f>
        <v>9000000</v>
      </c>
    </row>
    <row r="72" spans="2:7" ht="15" customHeight="1">
      <c r="B72" s="680"/>
      <c r="C72" s="681"/>
      <c r="D72" s="681"/>
      <c r="E72" s="678"/>
      <c r="F72" s="679"/>
      <c r="G72" s="700"/>
    </row>
    <row r="73" spans="2:7" ht="15" customHeight="1">
      <c r="B73" s="680"/>
      <c r="C73" s="1317" t="s">
        <v>974</v>
      </c>
      <c r="D73" s="1298"/>
      <c r="E73" s="1298"/>
      <c r="F73" s="1298"/>
      <c r="G73" s="1298"/>
    </row>
    <row r="74" spans="2:7" ht="15" customHeight="1">
      <c r="B74" s="680"/>
      <c r="C74" s="681"/>
      <c r="D74" s="681"/>
      <c r="E74" s="678"/>
      <c r="F74" s="679"/>
      <c r="G74" s="700"/>
    </row>
    <row r="75" spans="2:9" s="677" customFormat="1" ht="31.5">
      <c r="B75" s="690" t="s">
        <v>4</v>
      </c>
      <c r="C75" s="674" t="s">
        <v>481</v>
      </c>
      <c r="D75" s="675" t="s">
        <v>988</v>
      </c>
      <c r="E75" s="675" t="s">
        <v>7</v>
      </c>
      <c r="F75" s="674" t="s">
        <v>712</v>
      </c>
      <c r="G75" s="676" t="s">
        <v>5</v>
      </c>
      <c r="I75" s="1006"/>
    </row>
    <row r="76" spans="2:9" s="677" customFormat="1" ht="15.75">
      <c r="B76" s="1275">
        <v>1</v>
      </c>
      <c r="C76" s="1299" t="s">
        <v>194</v>
      </c>
      <c r="D76" s="770" t="s">
        <v>2063</v>
      </c>
      <c r="E76" s="714" t="s">
        <v>890</v>
      </c>
      <c r="F76" s="711" t="s">
        <v>2064</v>
      </c>
      <c r="G76" s="713">
        <v>1700000</v>
      </c>
      <c r="I76" s="1006"/>
    </row>
    <row r="77" spans="2:9" s="677" customFormat="1" ht="15.75">
      <c r="B77" s="1273"/>
      <c r="C77" s="1279"/>
      <c r="D77" s="907" t="s">
        <v>1920</v>
      </c>
      <c r="E77" s="907" t="s">
        <v>1502</v>
      </c>
      <c r="F77" s="907" t="s">
        <v>1503</v>
      </c>
      <c r="G77" s="908">
        <v>3000000</v>
      </c>
      <c r="I77" s="1006"/>
    </row>
    <row r="78" spans="2:9" s="677" customFormat="1" ht="15.75">
      <c r="B78" s="1273"/>
      <c r="C78" s="1279"/>
      <c r="D78" s="770" t="s">
        <v>2065</v>
      </c>
      <c r="E78" s="714" t="s">
        <v>890</v>
      </c>
      <c r="F78" s="711" t="s">
        <v>2066</v>
      </c>
      <c r="G78" s="713">
        <v>1700000</v>
      </c>
      <c r="I78" s="1006"/>
    </row>
    <row r="79" spans="2:9" s="677" customFormat="1" ht="15.75">
      <c r="B79" s="1273"/>
      <c r="C79" s="1279"/>
      <c r="D79" s="765" t="s">
        <v>2173</v>
      </c>
      <c r="E79" s="714" t="s">
        <v>890</v>
      </c>
      <c r="F79" s="766" t="s">
        <v>2174</v>
      </c>
      <c r="G79" s="767">
        <v>1000000</v>
      </c>
      <c r="I79" s="1006"/>
    </row>
    <row r="80" spans="2:9" s="677" customFormat="1" ht="15.75">
      <c r="B80" s="1273"/>
      <c r="C80" s="1279"/>
      <c r="D80" s="765" t="s">
        <v>1478</v>
      </c>
      <c r="E80" s="766" t="s">
        <v>1475</v>
      </c>
      <c r="F80" s="766" t="s">
        <v>1479</v>
      </c>
      <c r="G80" s="767">
        <v>1500000</v>
      </c>
      <c r="I80" s="1006"/>
    </row>
    <row r="81" spans="2:9" s="677" customFormat="1" ht="15.75">
      <c r="B81" s="1273"/>
      <c r="C81" s="1279"/>
      <c r="D81" s="765" t="s">
        <v>1480</v>
      </c>
      <c r="E81" s="766" t="s">
        <v>1475</v>
      </c>
      <c r="F81" s="766" t="s">
        <v>1481</v>
      </c>
      <c r="G81" s="767">
        <v>1900000</v>
      </c>
      <c r="I81" s="1006"/>
    </row>
    <row r="82" spans="2:9" s="677" customFormat="1" ht="15" customHeight="1">
      <c r="B82" s="1273"/>
      <c r="C82" s="1279"/>
      <c r="D82" s="770" t="s">
        <v>2056</v>
      </c>
      <c r="E82" s="714" t="s">
        <v>1451</v>
      </c>
      <c r="F82" s="711" t="s">
        <v>864</v>
      </c>
      <c r="G82" s="713">
        <v>1700000</v>
      </c>
      <c r="I82" s="1006"/>
    </row>
    <row r="83" spans="2:7" ht="15" customHeight="1">
      <c r="B83" s="1273"/>
      <c r="C83" s="1279"/>
      <c r="D83" s="770" t="s">
        <v>1450</v>
      </c>
      <c r="E83" s="714" t="s">
        <v>1451</v>
      </c>
      <c r="F83" s="711" t="s">
        <v>1968</v>
      </c>
      <c r="G83" s="713">
        <v>2000000</v>
      </c>
    </row>
    <row r="84" spans="2:7" ht="15" customHeight="1">
      <c r="B84" s="1273"/>
      <c r="C84" s="1279"/>
      <c r="D84" s="770" t="s">
        <v>1453</v>
      </c>
      <c r="E84" s="714" t="s">
        <v>1451</v>
      </c>
      <c r="F84" s="711" t="s">
        <v>864</v>
      </c>
      <c r="G84" s="713">
        <v>2400000</v>
      </c>
    </row>
    <row r="85" spans="2:7" ht="15" customHeight="1">
      <c r="B85" s="1273"/>
      <c r="C85" s="1279"/>
      <c r="D85" s="765" t="s">
        <v>2175</v>
      </c>
      <c r="E85" s="714" t="s">
        <v>1451</v>
      </c>
      <c r="F85" s="731" t="s">
        <v>2176</v>
      </c>
      <c r="G85" s="453">
        <v>1000000</v>
      </c>
    </row>
    <row r="86" spans="2:7" ht="15.75">
      <c r="B86" s="1273"/>
      <c r="C86" s="1279"/>
      <c r="D86" s="768" t="s">
        <v>1454</v>
      </c>
      <c r="E86" s="757" t="s">
        <v>194</v>
      </c>
      <c r="F86" s="758" t="s">
        <v>1455</v>
      </c>
      <c r="G86" s="769">
        <v>9000000</v>
      </c>
    </row>
    <row r="87" spans="2:7" ht="15.75">
      <c r="B87" s="1273"/>
      <c r="C87" s="1279"/>
      <c r="D87" s="770" t="s">
        <v>1456</v>
      </c>
      <c r="E87" s="714" t="s">
        <v>1457</v>
      </c>
      <c r="F87" s="711" t="s">
        <v>159</v>
      </c>
      <c r="G87" s="713">
        <v>4000000</v>
      </c>
    </row>
    <row r="88" spans="2:9" s="1046" customFormat="1" ht="16.5" thickBot="1">
      <c r="B88" s="1055"/>
      <c r="C88" s="1056"/>
      <c r="D88" s="1057" t="s">
        <v>2332</v>
      </c>
      <c r="E88" s="1058" t="s">
        <v>2254</v>
      </c>
      <c r="F88" s="1057" t="s">
        <v>2255</v>
      </c>
      <c r="G88" s="1059">
        <v>2000000</v>
      </c>
      <c r="I88" s="1048"/>
    </row>
    <row r="89" spans="2:7" ht="15" customHeight="1" thickBot="1">
      <c r="B89" s="450"/>
      <c r="C89" s="450"/>
      <c r="D89" s="1280" t="s">
        <v>9</v>
      </c>
      <c r="E89" s="1281"/>
      <c r="F89" s="1282"/>
      <c r="G89" s="448">
        <f>SUM(G76:G88)</f>
        <v>32900000</v>
      </c>
    </row>
    <row r="90" spans="2:7" ht="15.75" customHeight="1">
      <c r="B90" s="1273"/>
      <c r="C90" s="1273"/>
      <c r="D90" s="714" t="s">
        <v>2057</v>
      </c>
      <c r="E90" s="778" t="s">
        <v>344</v>
      </c>
      <c r="F90" s="946" t="s">
        <v>1550</v>
      </c>
      <c r="G90" s="713">
        <v>2500000</v>
      </c>
    </row>
    <row r="91" spans="2:9" s="1046" customFormat="1" ht="15.75" customHeight="1">
      <c r="B91" s="1273"/>
      <c r="C91" s="1273"/>
      <c r="D91" s="1060" t="s">
        <v>2330</v>
      </c>
      <c r="E91" s="1061" t="s">
        <v>344</v>
      </c>
      <c r="F91" s="1062" t="s">
        <v>2331</v>
      </c>
      <c r="G91" s="1063">
        <v>1500000</v>
      </c>
      <c r="I91" s="1048"/>
    </row>
    <row r="92" spans="2:7" ht="15.75">
      <c r="B92" s="1273"/>
      <c r="C92" s="1273"/>
      <c r="D92" s="714" t="s">
        <v>1551</v>
      </c>
      <c r="E92" s="778" t="s">
        <v>344</v>
      </c>
      <c r="F92" s="824" t="s">
        <v>817</v>
      </c>
      <c r="G92" s="713">
        <v>500000</v>
      </c>
    </row>
    <row r="93" spans="2:7" ht="31.5">
      <c r="B93" s="1273"/>
      <c r="C93" s="1273"/>
      <c r="D93" s="714" t="s">
        <v>1552</v>
      </c>
      <c r="E93" s="778" t="s">
        <v>344</v>
      </c>
      <c r="F93" s="946" t="s">
        <v>1553</v>
      </c>
      <c r="G93" s="713">
        <v>4700000</v>
      </c>
    </row>
    <row r="94" spans="2:7" ht="15" customHeight="1">
      <c r="B94" s="1273"/>
      <c r="C94" s="1273"/>
      <c r="D94" s="711" t="s">
        <v>1572</v>
      </c>
      <c r="E94" s="778" t="s">
        <v>388</v>
      </c>
      <c r="F94" s="824" t="s">
        <v>398</v>
      </c>
      <c r="G94" s="713">
        <v>1000000</v>
      </c>
    </row>
    <row r="95" spans="2:7" ht="15.75">
      <c r="B95" s="1273"/>
      <c r="C95" s="1273"/>
      <c r="D95" s="711" t="s">
        <v>2058</v>
      </c>
      <c r="E95" s="826" t="s">
        <v>427</v>
      </c>
      <c r="F95" s="824" t="s">
        <v>1669</v>
      </c>
      <c r="G95" s="869">
        <v>2500000</v>
      </c>
    </row>
    <row r="96" spans="2:7" ht="15.75">
      <c r="B96" s="1273"/>
      <c r="C96" s="1273"/>
      <c r="D96" s="711" t="s">
        <v>2059</v>
      </c>
      <c r="E96" s="826" t="s">
        <v>427</v>
      </c>
      <c r="F96" s="824" t="s">
        <v>2060</v>
      </c>
      <c r="G96" s="869">
        <v>2500000</v>
      </c>
    </row>
    <row r="97" spans="2:7" ht="15.75">
      <c r="B97" s="1273"/>
      <c r="C97" s="1273"/>
      <c r="D97" s="711" t="s">
        <v>1969</v>
      </c>
      <c r="E97" s="826" t="s">
        <v>363</v>
      </c>
      <c r="F97" s="824" t="s">
        <v>1591</v>
      </c>
      <c r="G97" s="713">
        <v>2500000</v>
      </c>
    </row>
    <row r="98" spans="2:7" ht="15.75">
      <c r="B98" s="1273"/>
      <c r="C98" s="1273"/>
      <c r="D98" s="711" t="s">
        <v>1592</v>
      </c>
      <c r="E98" s="826" t="s">
        <v>363</v>
      </c>
      <c r="F98" s="824" t="s">
        <v>1593</v>
      </c>
      <c r="G98" s="869">
        <v>2500000</v>
      </c>
    </row>
    <row r="99" spans="2:9" s="1046" customFormat="1" ht="15.75">
      <c r="B99" s="1273"/>
      <c r="C99" s="1273"/>
      <c r="D99" s="1064" t="s">
        <v>2327</v>
      </c>
      <c r="E99" s="1061" t="s">
        <v>363</v>
      </c>
      <c r="F99" s="1065" t="s">
        <v>2328</v>
      </c>
      <c r="G99" s="1066">
        <v>2500000</v>
      </c>
      <c r="I99" s="1048"/>
    </row>
    <row r="100" spans="2:9" s="1046" customFormat="1" ht="15.75">
      <c r="B100" s="1273"/>
      <c r="C100" s="1273"/>
      <c r="D100" s="1064" t="s">
        <v>2256</v>
      </c>
      <c r="E100" s="1061" t="s">
        <v>363</v>
      </c>
      <c r="F100" s="1065" t="s">
        <v>2329</v>
      </c>
      <c r="G100" s="1066">
        <v>2500000</v>
      </c>
      <c r="I100" s="1048"/>
    </row>
    <row r="101" spans="2:7" ht="15.75">
      <c r="B101" s="1273"/>
      <c r="C101" s="1273"/>
      <c r="D101" s="711" t="s">
        <v>1594</v>
      </c>
      <c r="E101" s="826" t="s">
        <v>363</v>
      </c>
      <c r="F101" s="824" t="s">
        <v>1595</v>
      </c>
      <c r="G101" s="869">
        <v>500000</v>
      </c>
    </row>
    <row r="102" spans="2:7" ht="15.75">
      <c r="B102" s="1273"/>
      <c r="C102" s="1273"/>
      <c r="D102" s="711" t="s">
        <v>1596</v>
      </c>
      <c r="E102" s="826" t="s">
        <v>363</v>
      </c>
      <c r="F102" s="824" t="s">
        <v>366</v>
      </c>
      <c r="G102" s="869">
        <v>500000</v>
      </c>
    </row>
    <row r="103" spans="2:7" ht="15.75">
      <c r="B103" s="1273"/>
      <c r="C103" s="1273"/>
      <c r="D103" s="900" t="s">
        <v>1627</v>
      </c>
      <c r="E103" s="812" t="s">
        <v>336</v>
      </c>
      <c r="F103" s="812" t="s">
        <v>1628</v>
      </c>
      <c r="G103" s="839">
        <v>8000000</v>
      </c>
    </row>
    <row r="104" spans="2:7" ht="15.75">
      <c r="B104" s="1273"/>
      <c r="C104" s="1273"/>
      <c r="D104" s="711" t="s">
        <v>1629</v>
      </c>
      <c r="E104" s="711" t="s">
        <v>336</v>
      </c>
      <c r="F104" s="714" t="s">
        <v>341</v>
      </c>
      <c r="G104" s="779">
        <v>500000</v>
      </c>
    </row>
    <row r="105" spans="2:7" ht="15.75">
      <c r="B105" s="1273"/>
      <c r="C105" s="1273"/>
      <c r="D105" s="711" t="s">
        <v>1630</v>
      </c>
      <c r="E105" s="826" t="s">
        <v>336</v>
      </c>
      <c r="F105" s="824" t="s">
        <v>360</v>
      </c>
      <c r="G105" s="713">
        <v>600000</v>
      </c>
    </row>
    <row r="106" spans="2:7" ht="15.75">
      <c r="B106" s="1273"/>
      <c r="C106" s="1273"/>
      <c r="D106" s="711" t="s">
        <v>2342</v>
      </c>
      <c r="E106" s="826" t="s">
        <v>336</v>
      </c>
      <c r="F106" s="824" t="s">
        <v>359</v>
      </c>
      <c r="G106" s="869">
        <v>10000000</v>
      </c>
    </row>
    <row r="107" spans="2:7" ht="15.75">
      <c r="B107" s="1273"/>
      <c r="C107" s="1273"/>
      <c r="D107" s="711" t="s">
        <v>1640</v>
      </c>
      <c r="E107" s="826" t="s">
        <v>464</v>
      </c>
      <c r="F107" s="824" t="s">
        <v>477</v>
      </c>
      <c r="G107" s="869">
        <v>500000</v>
      </c>
    </row>
    <row r="108" spans="2:7" ht="15.75">
      <c r="B108" s="1273"/>
      <c r="C108" s="1273"/>
      <c r="D108" s="711" t="s">
        <v>1641</v>
      </c>
      <c r="E108" s="826" t="s">
        <v>464</v>
      </c>
      <c r="F108" s="824" t="s">
        <v>468</v>
      </c>
      <c r="G108" s="869">
        <v>300000</v>
      </c>
    </row>
    <row r="109" spans="2:7" ht="15.75">
      <c r="B109" s="1273"/>
      <c r="C109" s="1273"/>
      <c r="D109" s="711" t="s">
        <v>1651</v>
      </c>
      <c r="E109" s="826" t="s">
        <v>442</v>
      </c>
      <c r="F109" s="824" t="s">
        <v>1652</v>
      </c>
      <c r="G109" s="869">
        <v>1500000</v>
      </c>
    </row>
    <row r="110" spans="2:9" s="1046" customFormat="1" ht="15.75">
      <c r="B110" s="1273"/>
      <c r="C110" s="1273"/>
      <c r="D110" s="1064" t="s">
        <v>2326</v>
      </c>
      <c r="E110" s="1061" t="s">
        <v>442</v>
      </c>
      <c r="F110" s="1065" t="s">
        <v>446</v>
      </c>
      <c r="G110" s="1066">
        <v>1600000</v>
      </c>
      <c r="I110" s="1048"/>
    </row>
    <row r="111" spans="2:7" ht="16.5" thickBot="1">
      <c r="B111" s="1274"/>
      <c r="C111" s="1274"/>
      <c r="D111" s="442" t="s">
        <v>1961</v>
      </c>
      <c r="E111" s="442" t="s">
        <v>442</v>
      </c>
      <c r="F111" s="442" t="s">
        <v>442</v>
      </c>
      <c r="G111" s="443">
        <v>7000000</v>
      </c>
    </row>
    <row r="112" spans="2:7" ht="15" customHeight="1" thickBot="1">
      <c r="B112" s="450"/>
      <c r="C112" s="450"/>
      <c r="D112" s="1280" t="s">
        <v>9</v>
      </c>
      <c r="E112" s="1281"/>
      <c r="F112" s="1282"/>
      <c r="G112" s="448">
        <f>SUM(G90:G111)</f>
        <v>56200000</v>
      </c>
    </row>
    <row r="113" spans="2:7" ht="15" customHeight="1">
      <c r="B113" s="1278">
        <v>3</v>
      </c>
      <c r="C113" s="1293" t="s">
        <v>962</v>
      </c>
      <c r="D113" s="855" t="s">
        <v>1724</v>
      </c>
      <c r="E113" s="856" t="s">
        <v>654</v>
      </c>
      <c r="F113" s="856" t="s">
        <v>654</v>
      </c>
      <c r="G113" s="857">
        <v>500000</v>
      </c>
    </row>
    <row r="114" spans="2:7" ht="15" customHeight="1">
      <c r="B114" s="1273"/>
      <c r="C114" s="1279"/>
      <c r="D114" s="856" t="s">
        <v>1725</v>
      </c>
      <c r="E114" s="856" t="s">
        <v>654</v>
      </c>
      <c r="F114" s="856" t="s">
        <v>654</v>
      </c>
      <c r="G114" s="857">
        <v>300000</v>
      </c>
    </row>
    <row r="115" spans="2:7" ht="15" customHeight="1">
      <c r="B115" s="1273"/>
      <c r="C115" s="1279"/>
      <c r="D115" s="856" t="s">
        <v>1726</v>
      </c>
      <c r="E115" s="856" t="s">
        <v>654</v>
      </c>
      <c r="F115" s="856" t="s">
        <v>1727</v>
      </c>
      <c r="G115" s="857">
        <v>500000</v>
      </c>
    </row>
    <row r="116" spans="2:9" s="1046" customFormat="1" ht="15" customHeight="1">
      <c r="B116" s="1273"/>
      <c r="C116" s="1279"/>
      <c r="D116" s="1067" t="s">
        <v>2320</v>
      </c>
      <c r="E116" s="1067" t="s">
        <v>654</v>
      </c>
      <c r="F116" s="1067" t="s">
        <v>2321</v>
      </c>
      <c r="G116" s="1068">
        <v>3400000</v>
      </c>
      <c r="I116" s="1048"/>
    </row>
    <row r="117" spans="2:7" ht="15.75">
      <c r="B117" s="1273"/>
      <c r="C117" s="1279"/>
      <c r="D117" s="856" t="s">
        <v>1728</v>
      </c>
      <c r="E117" s="856" t="s">
        <v>1729</v>
      </c>
      <c r="F117" s="856" t="s">
        <v>1727</v>
      </c>
      <c r="G117" s="857">
        <v>500000</v>
      </c>
    </row>
    <row r="118" spans="2:7" ht="31.5">
      <c r="B118" s="1273"/>
      <c r="C118" s="1279"/>
      <c r="D118" s="863" t="s">
        <v>1751</v>
      </c>
      <c r="E118" s="711" t="s">
        <v>682</v>
      </c>
      <c r="F118" s="711" t="s">
        <v>1752</v>
      </c>
      <c r="G118" s="713">
        <v>6700000</v>
      </c>
    </row>
    <row r="119" spans="2:9" s="1046" customFormat="1" ht="15.75">
      <c r="B119" s="1273"/>
      <c r="C119" s="1279"/>
      <c r="D119" s="1061" t="s">
        <v>2317</v>
      </c>
      <c r="E119" s="1064" t="s">
        <v>719</v>
      </c>
      <c r="F119" s="1064" t="s">
        <v>1781</v>
      </c>
      <c r="G119" s="1063">
        <v>400000</v>
      </c>
      <c r="I119" s="1048"/>
    </row>
    <row r="120" spans="2:9" s="1046" customFormat="1" ht="15.75">
      <c r="B120" s="1273"/>
      <c r="C120" s="1279"/>
      <c r="D120" s="1061" t="s">
        <v>2318</v>
      </c>
      <c r="E120" s="1064" t="s">
        <v>719</v>
      </c>
      <c r="F120" s="1064" t="s">
        <v>727</v>
      </c>
      <c r="G120" s="1063">
        <v>400000</v>
      </c>
      <c r="I120" s="1048"/>
    </row>
    <row r="121" spans="2:7" ht="15" customHeight="1">
      <c r="B121" s="1273"/>
      <c r="C121" s="1279"/>
      <c r="D121" s="711" t="s">
        <v>2319</v>
      </c>
      <c r="E121" s="711" t="s">
        <v>719</v>
      </c>
      <c r="F121" s="766" t="s">
        <v>1756</v>
      </c>
      <c r="G121" s="767">
        <v>800000</v>
      </c>
    </row>
    <row r="122" spans="2:9" s="1046" customFormat="1" ht="15.75" customHeight="1">
      <c r="B122" s="1273"/>
      <c r="C122" s="1279"/>
      <c r="D122" s="1069" t="s">
        <v>2333</v>
      </c>
      <c r="E122" s="1064" t="s">
        <v>719</v>
      </c>
      <c r="F122" s="1069" t="s">
        <v>1763</v>
      </c>
      <c r="G122" s="1050">
        <v>800000</v>
      </c>
      <c r="I122" s="1048"/>
    </row>
    <row r="123" spans="2:7" ht="15" customHeight="1">
      <c r="B123" s="1273"/>
      <c r="C123" s="1279"/>
      <c r="D123" s="766" t="s">
        <v>1782</v>
      </c>
      <c r="E123" s="711" t="s">
        <v>719</v>
      </c>
      <c r="F123" s="766" t="s">
        <v>1783</v>
      </c>
      <c r="G123" s="767">
        <v>550000</v>
      </c>
    </row>
    <row r="124" spans="2:7" ht="15" customHeight="1">
      <c r="B124" s="1273"/>
      <c r="C124" s="1279"/>
      <c r="D124" s="766" t="s">
        <v>1784</v>
      </c>
      <c r="E124" s="711" t="s">
        <v>719</v>
      </c>
      <c r="F124" s="766" t="s">
        <v>720</v>
      </c>
      <c r="G124" s="767">
        <v>550000</v>
      </c>
    </row>
    <row r="125" spans="2:9" s="1046" customFormat="1" ht="15.75">
      <c r="B125" s="1273"/>
      <c r="C125" s="1279"/>
      <c r="D125" s="1061" t="s">
        <v>2322</v>
      </c>
      <c r="E125" s="1064" t="s">
        <v>918</v>
      </c>
      <c r="F125" s="1064" t="s">
        <v>2324</v>
      </c>
      <c r="G125" s="1063">
        <v>600000</v>
      </c>
      <c r="I125" s="1048"/>
    </row>
    <row r="126" spans="2:9" s="1046" customFormat="1" ht="15.75">
      <c r="B126" s="1273"/>
      <c r="C126" s="1279"/>
      <c r="D126" s="1061" t="s">
        <v>2323</v>
      </c>
      <c r="E126" s="1064" t="s">
        <v>918</v>
      </c>
      <c r="F126" s="1064" t="s">
        <v>2325</v>
      </c>
      <c r="G126" s="1063">
        <v>800000</v>
      </c>
      <c r="I126" s="1048"/>
    </row>
    <row r="127" spans="2:9" s="1046" customFormat="1" ht="15.75">
      <c r="B127" s="1273"/>
      <c r="C127" s="1279"/>
      <c r="D127" s="1061" t="s">
        <v>2273</v>
      </c>
      <c r="E127" s="1064" t="s">
        <v>918</v>
      </c>
      <c r="F127" s="1064" t="s">
        <v>1801</v>
      </c>
      <c r="G127" s="1063">
        <v>600000</v>
      </c>
      <c r="I127" s="1048"/>
    </row>
    <row r="128" spans="2:7" ht="15" customHeight="1">
      <c r="B128" s="1273"/>
      <c r="C128" s="1279"/>
      <c r="D128" s="766" t="s">
        <v>1785</v>
      </c>
      <c r="E128" s="766" t="s">
        <v>918</v>
      </c>
      <c r="F128" s="766" t="s">
        <v>1786</v>
      </c>
      <c r="G128" s="767">
        <v>500000</v>
      </c>
    </row>
    <row r="129" spans="2:7" ht="15" customHeight="1">
      <c r="B129" s="1273"/>
      <c r="C129" s="1279"/>
      <c r="D129" s="766" t="s">
        <v>1787</v>
      </c>
      <c r="E129" s="766" t="s">
        <v>918</v>
      </c>
      <c r="F129" s="766" t="s">
        <v>1786</v>
      </c>
      <c r="G129" s="767">
        <v>500000</v>
      </c>
    </row>
    <row r="130" spans="2:7" ht="15" customHeight="1" thickBot="1">
      <c r="B130" s="1273"/>
      <c r="C130" s="1279"/>
      <c r="D130" s="766" t="s">
        <v>1788</v>
      </c>
      <c r="E130" s="766" t="s">
        <v>918</v>
      </c>
      <c r="F130" s="766" t="s">
        <v>1789</v>
      </c>
      <c r="G130" s="767">
        <v>500000</v>
      </c>
    </row>
    <row r="131" spans="2:7" ht="15" customHeight="1" thickBot="1">
      <c r="B131" s="1278">
        <v>4</v>
      </c>
      <c r="C131" s="450"/>
      <c r="D131" s="1280" t="s">
        <v>9</v>
      </c>
      <c r="E131" s="1281"/>
      <c r="F131" s="1282"/>
      <c r="G131" s="448">
        <f>SUM(G113:G130)</f>
        <v>18900000</v>
      </c>
    </row>
    <row r="132" spans="2:7" ht="15" customHeight="1">
      <c r="B132" s="1273"/>
      <c r="C132" s="1293" t="s">
        <v>965</v>
      </c>
      <c r="D132" s="868" t="s">
        <v>2067</v>
      </c>
      <c r="E132" s="868" t="s">
        <v>814</v>
      </c>
      <c r="F132" s="868" t="s">
        <v>2068</v>
      </c>
      <c r="G132" s="443">
        <v>1700000</v>
      </c>
    </row>
    <row r="133" spans="2:7" ht="15" customHeight="1">
      <c r="B133" s="1273"/>
      <c r="C133" s="1279"/>
      <c r="D133" s="868" t="s">
        <v>2062</v>
      </c>
      <c r="E133" s="868" t="s">
        <v>814</v>
      </c>
      <c r="F133" s="868" t="s">
        <v>2061</v>
      </c>
      <c r="G133" s="443">
        <v>1700000</v>
      </c>
    </row>
    <row r="134" spans="2:9" s="947" customFormat="1" ht="15" customHeight="1">
      <c r="B134" s="1273"/>
      <c r="C134" s="1279"/>
      <c r="D134" s="868" t="s">
        <v>2071</v>
      </c>
      <c r="E134" s="868" t="s">
        <v>814</v>
      </c>
      <c r="F134" s="868" t="s">
        <v>2072</v>
      </c>
      <c r="G134" s="443">
        <v>1700000</v>
      </c>
      <c r="I134" s="1010"/>
    </row>
    <row r="135" spans="2:9" s="947" customFormat="1" ht="15" customHeight="1">
      <c r="B135" s="1273"/>
      <c r="C135" s="1279"/>
      <c r="D135" s="776" t="s">
        <v>1842</v>
      </c>
      <c r="E135" s="868" t="s">
        <v>814</v>
      </c>
      <c r="F135" s="776" t="s">
        <v>1840</v>
      </c>
      <c r="G135" s="777">
        <v>1000000</v>
      </c>
      <c r="I135" s="1010"/>
    </row>
    <row r="136" spans="2:7" ht="15" customHeight="1">
      <c r="B136" s="1273"/>
      <c r="C136" s="1279"/>
      <c r="D136" s="442" t="s">
        <v>1960</v>
      </c>
      <c r="E136" s="442" t="s">
        <v>782</v>
      </c>
      <c r="F136" s="442" t="s">
        <v>1870</v>
      </c>
      <c r="G136" s="443">
        <f>18000000-94000</f>
        <v>17906000</v>
      </c>
    </row>
    <row r="137" spans="2:9" s="1046" customFormat="1" ht="31.5">
      <c r="B137" s="1273"/>
      <c r="C137" s="1279"/>
      <c r="D137" s="1095" t="s">
        <v>2272</v>
      </c>
      <c r="E137" s="1070" t="s">
        <v>755</v>
      </c>
      <c r="F137" s="1070" t="s">
        <v>760</v>
      </c>
      <c r="G137" s="1071">
        <v>4000000</v>
      </c>
      <c r="I137" s="1048"/>
    </row>
    <row r="138" spans="2:7" ht="15" customHeight="1" thickBot="1">
      <c r="B138" s="1273"/>
      <c r="C138" s="1279"/>
      <c r="D138" s="868" t="s">
        <v>1813</v>
      </c>
      <c r="E138" s="868" t="s">
        <v>755</v>
      </c>
      <c r="F138" s="868" t="s">
        <v>757</v>
      </c>
      <c r="G138" s="777">
        <v>500000</v>
      </c>
    </row>
    <row r="139" spans="2:7" ht="15" customHeight="1" thickBot="1">
      <c r="B139" s="450"/>
      <c r="C139" s="450"/>
      <c r="D139" s="1280" t="s">
        <v>9</v>
      </c>
      <c r="E139" s="1281"/>
      <c r="F139" s="1282"/>
      <c r="G139" s="448">
        <f>SUM(G132:G138)</f>
        <v>28506000</v>
      </c>
    </row>
    <row r="140" spans="2:7" ht="15" customHeight="1">
      <c r="B140" s="1276">
        <v>5</v>
      </c>
      <c r="C140" s="1293" t="s">
        <v>973</v>
      </c>
      <c r="D140" s="705" t="s">
        <v>1869</v>
      </c>
      <c r="E140" s="442" t="s">
        <v>782</v>
      </c>
      <c r="F140" s="706" t="s">
        <v>1870</v>
      </c>
      <c r="G140" s="452">
        <v>60000000</v>
      </c>
    </row>
    <row r="141" spans="2:7" ht="15.75">
      <c r="B141" s="1277"/>
      <c r="C141" s="1279"/>
      <c r="D141" s="444" t="s">
        <v>1945</v>
      </c>
      <c r="E141" s="442" t="s">
        <v>1864</v>
      </c>
      <c r="F141" s="444" t="s">
        <v>1864</v>
      </c>
      <c r="G141" s="445">
        <v>15000000</v>
      </c>
    </row>
    <row r="142" spans="2:7" ht="15" customHeight="1">
      <c r="B142" s="1277"/>
      <c r="C142" s="1279"/>
      <c r="D142" s="442" t="s">
        <v>1946</v>
      </c>
      <c r="E142" s="442" t="s">
        <v>1864</v>
      </c>
      <c r="F142" s="442" t="s">
        <v>1864</v>
      </c>
      <c r="G142" s="443">
        <f>10000000+10000000</f>
        <v>20000000</v>
      </c>
    </row>
    <row r="143" spans="2:7" ht="15" customHeight="1" thickBot="1">
      <c r="B143" s="1277"/>
      <c r="C143" s="1279"/>
      <c r="D143" s="444" t="s">
        <v>2042</v>
      </c>
      <c r="E143" s="442" t="s">
        <v>1864</v>
      </c>
      <c r="F143" s="444" t="s">
        <v>1864</v>
      </c>
      <c r="G143" s="445">
        <v>29598081</v>
      </c>
    </row>
    <row r="144" spans="2:7" ht="15" customHeight="1" thickBot="1">
      <c r="B144" s="450"/>
      <c r="C144" s="450"/>
      <c r="D144" s="446" t="s">
        <v>9</v>
      </c>
      <c r="E144" s="447"/>
      <c r="F144" s="447"/>
      <c r="G144" s="448">
        <f>SUM(G140:G143)</f>
        <v>124598081</v>
      </c>
    </row>
    <row r="145" spans="2:7" ht="15" customHeight="1" thickBot="1">
      <c r="B145" s="450"/>
      <c r="C145" s="450"/>
      <c r="D145" s="1280" t="s">
        <v>994</v>
      </c>
      <c r="E145" s="1281"/>
      <c r="F145" s="1282"/>
      <c r="G145" s="448">
        <f>SUM(G144,G139,G131,G112,G89)</f>
        <v>261104081</v>
      </c>
    </row>
    <row r="146" spans="2:7" ht="15" customHeight="1">
      <c r="B146" s="750"/>
      <c r="C146" s="709"/>
      <c r="D146" s="681"/>
      <c r="E146" s="681"/>
      <c r="F146" s="709"/>
      <c r="G146" s="704"/>
    </row>
    <row r="147" spans="2:7" ht="15" customHeight="1">
      <c r="B147" s="1301" t="s">
        <v>995</v>
      </c>
      <c r="C147" s="1301"/>
      <c r="D147" s="1301"/>
      <c r="E147" s="1301"/>
      <c r="F147" s="1301"/>
      <c r="G147" s="1301"/>
    </row>
    <row r="148" spans="2:7" ht="15" customHeight="1">
      <c r="B148" s="680"/>
      <c r="C148" s="681"/>
      <c r="D148" s="681"/>
      <c r="E148" s="678"/>
      <c r="F148" s="679"/>
      <c r="G148" s="700"/>
    </row>
    <row r="149" spans="2:9" s="677" customFormat="1" ht="31.5" customHeight="1">
      <c r="B149" s="690" t="s">
        <v>4</v>
      </c>
      <c r="C149" s="674" t="s">
        <v>481</v>
      </c>
      <c r="D149" s="675" t="s">
        <v>988</v>
      </c>
      <c r="E149" s="675" t="s">
        <v>7</v>
      </c>
      <c r="F149" s="674" t="s">
        <v>712</v>
      </c>
      <c r="G149" s="676" t="s">
        <v>5</v>
      </c>
      <c r="I149" s="1006"/>
    </row>
    <row r="150" spans="2:7" ht="15" customHeight="1">
      <c r="B150" s="1275">
        <v>1</v>
      </c>
      <c r="C150" s="1275" t="s">
        <v>963</v>
      </c>
      <c r="D150" s="771" t="s">
        <v>1458</v>
      </c>
      <c r="E150" s="712" t="s">
        <v>1451</v>
      </c>
      <c r="F150" s="772" t="s">
        <v>864</v>
      </c>
      <c r="G150" s="773">
        <v>2400000</v>
      </c>
    </row>
    <row r="151" spans="2:7" ht="15" customHeight="1">
      <c r="B151" s="1273"/>
      <c r="C151" s="1273"/>
      <c r="D151" s="771" t="s">
        <v>2069</v>
      </c>
      <c r="E151" s="712" t="s">
        <v>1451</v>
      </c>
      <c r="F151" s="772" t="s">
        <v>864</v>
      </c>
      <c r="G151" s="773">
        <v>2000000</v>
      </c>
    </row>
    <row r="152" spans="2:7" ht="15" customHeight="1">
      <c r="B152" s="1273"/>
      <c r="C152" s="1273"/>
      <c r="D152" s="771" t="s">
        <v>2073</v>
      </c>
      <c r="E152" s="712" t="s">
        <v>1451</v>
      </c>
      <c r="F152" s="772" t="s">
        <v>864</v>
      </c>
      <c r="G152" s="773">
        <v>3000000</v>
      </c>
    </row>
    <row r="153" spans="2:7" ht="15" customHeight="1">
      <c r="B153" s="1273"/>
      <c r="C153" s="1273"/>
      <c r="D153" s="711" t="s">
        <v>1459</v>
      </c>
      <c r="E153" s="712" t="s">
        <v>1451</v>
      </c>
      <c r="F153" s="772" t="s">
        <v>864</v>
      </c>
      <c r="G153" s="773">
        <v>414000</v>
      </c>
    </row>
    <row r="154" spans="2:7" ht="15" customHeight="1">
      <c r="B154" s="1273"/>
      <c r="C154" s="1273"/>
      <c r="D154" s="711" t="s">
        <v>1460</v>
      </c>
      <c r="E154" s="712" t="s">
        <v>1451</v>
      </c>
      <c r="F154" s="772" t="s">
        <v>872</v>
      </c>
      <c r="G154" s="773">
        <v>500000</v>
      </c>
    </row>
    <row r="155" spans="2:7" ht="15" customHeight="1">
      <c r="B155" s="1273"/>
      <c r="C155" s="1273"/>
      <c r="D155" s="711" t="s">
        <v>2074</v>
      </c>
      <c r="E155" s="712" t="s">
        <v>1451</v>
      </c>
      <c r="F155" s="772" t="s">
        <v>872</v>
      </c>
      <c r="G155" s="773">
        <v>2000000</v>
      </c>
    </row>
    <row r="156" spans="2:7" ht="15" customHeight="1">
      <c r="B156" s="1273"/>
      <c r="C156" s="1273"/>
      <c r="D156" s="711" t="s">
        <v>1461</v>
      </c>
      <c r="E156" s="712" t="s">
        <v>1451</v>
      </c>
      <c r="F156" s="774" t="s">
        <v>872</v>
      </c>
      <c r="G156" s="773">
        <v>600000</v>
      </c>
    </row>
    <row r="157" spans="2:7" ht="15" customHeight="1">
      <c r="B157" s="1273"/>
      <c r="C157" s="1273"/>
      <c r="D157" s="770" t="s">
        <v>1462</v>
      </c>
      <c r="E157" s="712" t="s">
        <v>1451</v>
      </c>
      <c r="F157" s="774" t="s">
        <v>866</v>
      </c>
      <c r="G157" s="773">
        <v>1500000</v>
      </c>
    </row>
    <row r="158" spans="2:7" ht="15" customHeight="1">
      <c r="B158" s="1273"/>
      <c r="C158" s="1273"/>
      <c r="D158" s="770" t="s">
        <v>1463</v>
      </c>
      <c r="E158" s="712" t="s">
        <v>1451</v>
      </c>
      <c r="F158" s="774" t="s">
        <v>866</v>
      </c>
      <c r="G158" s="773">
        <v>2000000</v>
      </c>
    </row>
    <row r="159" spans="2:7" ht="15" customHeight="1">
      <c r="B159" s="1273"/>
      <c r="C159" s="1273"/>
      <c r="D159" s="775" t="s">
        <v>1464</v>
      </c>
      <c r="E159" s="761" t="s">
        <v>1465</v>
      </c>
      <c r="F159" s="776" t="s">
        <v>1466</v>
      </c>
      <c r="G159" s="777">
        <v>6815000.126</v>
      </c>
    </row>
    <row r="160" spans="2:7" ht="15" customHeight="1">
      <c r="B160" s="1273"/>
      <c r="C160" s="1273"/>
      <c r="D160" s="775" t="s">
        <v>1467</v>
      </c>
      <c r="E160" s="761" t="s">
        <v>1465</v>
      </c>
      <c r="F160" s="776" t="s">
        <v>1468</v>
      </c>
      <c r="G160" s="777">
        <v>2000000</v>
      </c>
    </row>
    <row r="161" spans="2:7" ht="15" customHeight="1">
      <c r="B161" s="1273"/>
      <c r="C161" s="1273"/>
      <c r="D161" s="775" t="s">
        <v>1469</v>
      </c>
      <c r="E161" s="711" t="s">
        <v>1465</v>
      </c>
      <c r="F161" s="778" t="s">
        <v>1468</v>
      </c>
      <c r="G161" s="779">
        <v>500000</v>
      </c>
    </row>
    <row r="162" spans="2:7" ht="15" customHeight="1">
      <c r="B162" s="1273"/>
      <c r="C162" s="1273"/>
      <c r="D162" s="775" t="s">
        <v>1470</v>
      </c>
      <c r="E162" s="711" t="s">
        <v>1465</v>
      </c>
      <c r="F162" s="778" t="s">
        <v>1468</v>
      </c>
      <c r="G162" s="779">
        <v>2400000</v>
      </c>
    </row>
    <row r="163" spans="2:7" ht="15" customHeight="1">
      <c r="B163" s="1273"/>
      <c r="C163" s="1273"/>
      <c r="D163" s="780" t="s">
        <v>1471</v>
      </c>
      <c r="E163" s="766" t="s">
        <v>1465</v>
      </c>
      <c r="F163" s="778" t="s">
        <v>1468</v>
      </c>
      <c r="G163" s="781">
        <v>500000</v>
      </c>
    </row>
    <row r="164" spans="2:7" ht="15" customHeight="1">
      <c r="B164" s="1273"/>
      <c r="C164" s="1273"/>
      <c r="D164" s="782" t="s">
        <v>1472</v>
      </c>
      <c r="E164" s="766" t="s">
        <v>1465</v>
      </c>
      <c r="F164" s="778" t="s">
        <v>1473</v>
      </c>
      <c r="G164" s="779">
        <v>2500000</v>
      </c>
    </row>
    <row r="165" spans="2:7" ht="15" customHeight="1">
      <c r="B165" s="1273"/>
      <c r="C165" s="1273"/>
      <c r="D165" s="782" t="s">
        <v>1474</v>
      </c>
      <c r="E165" s="766" t="s">
        <v>1475</v>
      </c>
      <c r="F165" s="778" t="s">
        <v>233</v>
      </c>
      <c r="G165" s="779">
        <v>2000000</v>
      </c>
    </row>
    <row r="166" spans="2:7" ht="15" customHeight="1">
      <c r="B166" s="1273"/>
      <c r="C166" s="1273"/>
      <c r="D166" s="782" t="s">
        <v>2075</v>
      </c>
      <c r="E166" s="766" t="s">
        <v>1475</v>
      </c>
      <c r="F166" s="778" t="s">
        <v>233</v>
      </c>
      <c r="G166" s="779">
        <v>2000000</v>
      </c>
    </row>
    <row r="167" spans="2:7" ht="15" customHeight="1">
      <c r="B167" s="1273"/>
      <c r="C167" s="1273"/>
      <c r="D167" s="782" t="s">
        <v>2070</v>
      </c>
      <c r="E167" s="766" t="s">
        <v>1475</v>
      </c>
      <c r="F167" s="778" t="s">
        <v>233</v>
      </c>
      <c r="G167" s="779">
        <v>1500000</v>
      </c>
    </row>
    <row r="168" spans="2:7" ht="15" customHeight="1">
      <c r="B168" s="1273"/>
      <c r="C168" s="1273"/>
      <c r="D168" s="782" t="s">
        <v>1476</v>
      </c>
      <c r="E168" s="766" t="s">
        <v>1475</v>
      </c>
      <c r="F168" s="778" t="s">
        <v>903</v>
      </c>
      <c r="G168" s="779">
        <v>500000</v>
      </c>
    </row>
    <row r="169" spans="2:7" ht="15" customHeight="1">
      <c r="B169" s="1273"/>
      <c r="C169" s="1273"/>
      <c r="D169" s="782" t="s">
        <v>1477</v>
      </c>
      <c r="E169" s="766" t="s">
        <v>1465</v>
      </c>
      <c r="F169" s="778" t="s">
        <v>903</v>
      </c>
      <c r="G169" s="779">
        <v>1200000</v>
      </c>
    </row>
    <row r="170" spans="2:7" ht="15" customHeight="1">
      <c r="B170" s="1273"/>
      <c r="C170" s="1273"/>
      <c r="D170" s="782" t="s">
        <v>2092</v>
      </c>
      <c r="E170" s="731" t="s">
        <v>194</v>
      </c>
      <c r="F170" s="949" t="s">
        <v>194</v>
      </c>
      <c r="G170" s="779">
        <v>2000000</v>
      </c>
    </row>
    <row r="171" spans="2:7" ht="15" customHeight="1">
      <c r="B171" s="1273"/>
      <c r="C171" s="1273"/>
      <c r="D171" s="783" t="s">
        <v>1482</v>
      </c>
      <c r="E171" s="783" t="s">
        <v>194</v>
      </c>
      <c r="F171" s="783" t="s">
        <v>194</v>
      </c>
      <c r="G171" s="784">
        <v>4000000</v>
      </c>
    </row>
    <row r="172" spans="2:7" ht="15" customHeight="1">
      <c r="B172" s="1273"/>
      <c r="C172" s="1273"/>
      <c r="D172" s="783" t="s">
        <v>1484</v>
      </c>
      <c r="E172" s="783" t="s">
        <v>194</v>
      </c>
      <c r="F172" s="783" t="s">
        <v>194</v>
      </c>
      <c r="G172" s="784">
        <v>500000</v>
      </c>
    </row>
    <row r="173" spans="2:7" ht="15" customHeight="1">
      <c r="B173" s="1273"/>
      <c r="C173" s="1273"/>
      <c r="D173" s="783" t="s">
        <v>1485</v>
      </c>
      <c r="E173" s="783" t="s">
        <v>194</v>
      </c>
      <c r="F173" s="783" t="s">
        <v>1483</v>
      </c>
      <c r="G173" s="784">
        <v>500000</v>
      </c>
    </row>
    <row r="174" spans="2:7" ht="15" customHeight="1">
      <c r="B174" s="1273"/>
      <c r="C174" s="1273"/>
      <c r="D174" s="783" t="s">
        <v>1486</v>
      </c>
      <c r="E174" s="783" t="s">
        <v>194</v>
      </c>
      <c r="F174" s="783" t="s">
        <v>1487</v>
      </c>
      <c r="G174" s="784">
        <v>1000000</v>
      </c>
    </row>
    <row r="175" spans="2:7" ht="15" customHeight="1">
      <c r="B175" s="1273"/>
      <c r="C175" s="1273"/>
      <c r="D175" s="783" t="s">
        <v>1485</v>
      </c>
      <c r="E175" s="783" t="s">
        <v>194</v>
      </c>
      <c r="F175" s="783" t="s">
        <v>1487</v>
      </c>
      <c r="G175" s="784">
        <v>500000</v>
      </c>
    </row>
    <row r="176" spans="2:7" ht="15" customHeight="1">
      <c r="B176" s="1273"/>
      <c r="C176" s="1273"/>
      <c r="D176" s="783" t="s">
        <v>1488</v>
      </c>
      <c r="E176" s="783" t="s">
        <v>194</v>
      </c>
      <c r="F176" s="783" t="s">
        <v>1487</v>
      </c>
      <c r="G176" s="784">
        <v>500000</v>
      </c>
    </row>
    <row r="177" spans="2:7" ht="15" customHeight="1">
      <c r="B177" s="1273"/>
      <c r="C177" s="1273"/>
      <c r="D177" s="778" t="s">
        <v>1489</v>
      </c>
      <c r="E177" s="785" t="s">
        <v>1457</v>
      </c>
      <c r="F177" s="770" t="s">
        <v>1490</v>
      </c>
      <c r="G177" s="786">
        <v>2000000</v>
      </c>
    </row>
    <row r="178" spans="2:9" s="1046" customFormat="1" ht="31.5">
      <c r="B178" s="1273"/>
      <c r="C178" s="1273"/>
      <c r="D178" s="1072" t="s">
        <v>2334</v>
      </c>
      <c r="E178" s="785" t="s">
        <v>1457</v>
      </c>
      <c r="F178" s="1057" t="s">
        <v>2335</v>
      </c>
      <c r="G178" s="1073">
        <v>3000000</v>
      </c>
      <c r="I178" s="1048"/>
    </row>
    <row r="179" spans="2:7" ht="15" customHeight="1">
      <c r="B179" s="1273"/>
      <c r="C179" s="1273"/>
      <c r="D179" s="776" t="s">
        <v>1491</v>
      </c>
      <c r="E179" s="789" t="s">
        <v>1457</v>
      </c>
      <c r="F179" s="761" t="s">
        <v>1490</v>
      </c>
      <c r="G179" s="777">
        <v>1000000</v>
      </c>
    </row>
    <row r="180" spans="2:7" ht="15" customHeight="1">
      <c r="B180" s="1273"/>
      <c r="C180" s="1279"/>
      <c r="D180" s="776" t="s">
        <v>1908</v>
      </c>
      <c r="E180" s="789" t="s">
        <v>567</v>
      </c>
      <c r="F180" s="761" t="s">
        <v>1492</v>
      </c>
      <c r="G180" s="777">
        <v>2500000</v>
      </c>
    </row>
    <row r="181" spans="2:7" ht="15" customHeight="1">
      <c r="B181" s="1273"/>
      <c r="C181" s="1279"/>
      <c r="D181" s="776" t="s">
        <v>1493</v>
      </c>
      <c r="E181" s="789" t="s">
        <v>567</v>
      </c>
      <c r="F181" s="761" t="s">
        <v>1492</v>
      </c>
      <c r="G181" s="777">
        <v>500000</v>
      </c>
    </row>
    <row r="182" spans="2:7" ht="15" customHeight="1">
      <c r="B182" s="1273"/>
      <c r="C182" s="1279"/>
      <c r="D182" s="761" t="s">
        <v>1909</v>
      </c>
      <c r="E182" s="761" t="s">
        <v>567</v>
      </c>
      <c r="F182" s="761" t="s">
        <v>1494</v>
      </c>
      <c r="G182" s="790">
        <v>2500000</v>
      </c>
    </row>
    <row r="183" spans="2:7" ht="15" customHeight="1">
      <c r="B183" s="1273"/>
      <c r="C183" s="1279"/>
      <c r="D183" s="761" t="s">
        <v>1910</v>
      </c>
      <c r="E183" s="761" t="s">
        <v>567</v>
      </c>
      <c r="F183" s="761" t="s">
        <v>1494</v>
      </c>
      <c r="G183" s="790">
        <v>500000</v>
      </c>
    </row>
    <row r="184" spans="2:7" ht="15" customHeight="1">
      <c r="B184" s="1273"/>
      <c r="C184" s="1279"/>
      <c r="D184" s="761" t="s">
        <v>1911</v>
      </c>
      <c r="E184" s="761" t="s">
        <v>567</v>
      </c>
      <c r="F184" s="761" t="s">
        <v>1494</v>
      </c>
      <c r="G184" s="790">
        <v>500000</v>
      </c>
    </row>
    <row r="185" spans="2:7" ht="15" customHeight="1">
      <c r="B185" s="1273"/>
      <c r="C185" s="1279"/>
      <c r="D185" s="791" t="s">
        <v>1495</v>
      </c>
      <c r="E185" s="791" t="s">
        <v>567</v>
      </c>
      <c r="F185" s="791" t="s">
        <v>1494</v>
      </c>
      <c r="G185" s="792">
        <v>1000000</v>
      </c>
    </row>
    <row r="186" spans="2:7" ht="15" customHeight="1">
      <c r="B186" s="1273"/>
      <c r="C186" s="1279"/>
      <c r="D186" s="776" t="s">
        <v>1496</v>
      </c>
      <c r="E186" s="789" t="s">
        <v>567</v>
      </c>
      <c r="F186" s="761" t="s">
        <v>1497</v>
      </c>
      <c r="G186" s="777">
        <v>2500000</v>
      </c>
    </row>
    <row r="187" spans="2:7" ht="15" customHeight="1">
      <c r="B187" s="1273"/>
      <c r="C187" s="1279"/>
      <c r="D187" s="776" t="s">
        <v>1912</v>
      </c>
      <c r="E187" s="789" t="s">
        <v>567</v>
      </c>
      <c r="F187" s="761" t="s">
        <v>1497</v>
      </c>
      <c r="G187" s="777">
        <v>500000</v>
      </c>
    </row>
    <row r="188" spans="2:7" ht="15" customHeight="1">
      <c r="B188" s="1273"/>
      <c r="C188" s="1279"/>
      <c r="D188" s="776" t="s">
        <v>1913</v>
      </c>
      <c r="E188" s="789" t="s">
        <v>567</v>
      </c>
      <c r="F188" s="761" t="s">
        <v>1498</v>
      </c>
      <c r="G188" s="777">
        <v>1800000</v>
      </c>
    </row>
    <row r="189" spans="2:7" ht="15" customHeight="1">
      <c r="B189" s="1273"/>
      <c r="C189" s="1279"/>
      <c r="D189" s="761" t="s">
        <v>1914</v>
      </c>
      <c r="E189" s="761" t="s">
        <v>567</v>
      </c>
      <c r="F189" s="761" t="s">
        <v>1498</v>
      </c>
      <c r="G189" s="790">
        <v>500000</v>
      </c>
    </row>
    <row r="190" spans="2:7" ht="15" customHeight="1">
      <c r="B190" s="1273"/>
      <c r="C190" s="1279"/>
      <c r="D190" s="761" t="s">
        <v>1915</v>
      </c>
      <c r="E190" s="761" t="s">
        <v>567</v>
      </c>
      <c r="F190" s="761" t="s">
        <v>1498</v>
      </c>
      <c r="G190" s="790">
        <v>200000</v>
      </c>
    </row>
    <row r="191" spans="2:7" ht="15" customHeight="1">
      <c r="B191" s="1273"/>
      <c r="C191" s="1279"/>
      <c r="D191" s="761" t="s">
        <v>1916</v>
      </c>
      <c r="E191" s="761" t="s">
        <v>567</v>
      </c>
      <c r="F191" s="761" t="s">
        <v>1499</v>
      </c>
      <c r="G191" s="790">
        <v>1000000</v>
      </c>
    </row>
    <row r="192" spans="2:7" ht="15" customHeight="1">
      <c r="B192" s="1273"/>
      <c r="C192" s="1279"/>
      <c r="D192" s="791" t="s">
        <v>1500</v>
      </c>
      <c r="E192" s="791" t="s">
        <v>567</v>
      </c>
      <c r="F192" s="791" t="s">
        <v>1501</v>
      </c>
      <c r="G192" s="792">
        <v>500000</v>
      </c>
    </row>
    <row r="193" spans="2:7" ht="15" customHeight="1">
      <c r="B193" s="1273"/>
      <c r="C193" s="1279"/>
      <c r="D193" s="776" t="s">
        <v>1970</v>
      </c>
      <c r="E193" s="789" t="s">
        <v>567</v>
      </c>
      <c r="F193" s="761" t="s">
        <v>1497</v>
      </c>
      <c r="G193" s="777">
        <v>1000000</v>
      </c>
    </row>
    <row r="194" spans="2:7" ht="15" customHeight="1" thickBot="1">
      <c r="B194" s="1274"/>
      <c r="C194" s="1274"/>
      <c r="D194" s="442" t="s">
        <v>568</v>
      </c>
      <c r="E194" s="442" t="s">
        <v>567</v>
      </c>
      <c r="F194" s="442" t="s">
        <v>569</v>
      </c>
      <c r="G194" s="441">
        <f>7060000-1500000</f>
        <v>5560000</v>
      </c>
    </row>
    <row r="195" spans="2:7" ht="15" customHeight="1" thickBot="1">
      <c r="B195" s="710"/>
      <c r="C195" s="683"/>
      <c r="D195" s="446" t="s">
        <v>9</v>
      </c>
      <c r="E195" s="447"/>
      <c r="F195" s="447"/>
      <c r="G195" s="448">
        <f>SUM(G150:G194)</f>
        <v>72389000.126</v>
      </c>
    </row>
    <row r="196" spans="2:7" ht="15" customHeight="1">
      <c r="B196" s="1278">
        <v>2</v>
      </c>
      <c r="C196" s="1278" t="s">
        <v>960</v>
      </c>
      <c r="D196" s="757" t="s">
        <v>1917</v>
      </c>
      <c r="E196" s="711" t="s">
        <v>344</v>
      </c>
      <c r="F196" s="778" t="s">
        <v>1554</v>
      </c>
      <c r="G196" s="805">
        <v>500000</v>
      </c>
    </row>
    <row r="197" spans="2:7" ht="15" customHeight="1">
      <c r="B197" s="1273"/>
      <c r="C197" s="1273"/>
      <c r="D197" s="757" t="s">
        <v>1918</v>
      </c>
      <c r="E197" s="711" t="s">
        <v>344</v>
      </c>
      <c r="F197" s="778" t="s">
        <v>1554</v>
      </c>
      <c r="G197" s="805">
        <v>500000</v>
      </c>
    </row>
    <row r="198" spans="2:7" ht="15" customHeight="1">
      <c r="B198" s="1273"/>
      <c r="C198" s="1273"/>
      <c r="D198" s="757" t="s">
        <v>1919</v>
      </c>
      <c r="E198" s="711" t="s">
        <v>344</v>
      </c>
      <c r="F198" s="778" t="s">
        <v>1555</v>
      </c>
      <c r="G198" s="805">
        <v>2500000</v>
      </c>
    </row>
    <row r="199" spans="2:7" ht="15" customHeight="1">
      <c r="B199" s="1273"/>
      <c r="C199" s="1273"/>
      <c r="D199" s="757" t="s">
        <v>1556</v>
      </c>
      <c r="E199" s="711" t="s">
        <v>344</v>
      </c>
      <c r="F199" s="810" t="s">
        <v>1555</v>
      </c>
      <c r="G199" s="805">
        <v>1500000</v>
      </c>
    </row>
    <row r="200" spans="2:7" ht="15" customHeight="1">
      <c r="B200" s="1273"/>
      <c r="C200" s="1273"/>
      <c r="D200" s="757" t="s">
        <v>1557</v>
      </c>
      <c r="E200" s="711" t="s">
        <v>344</v>
      </c>
      <c r="F200" s="811" t="s">
        <v>1558</v>
      </c>
      <c r="G200" s="805">
        <v>2500000</v>
      </c>
    </row>
    <row r="201" spans="2:7" ht="15" customHeight="1">
      <c r="B201" s="1273"/>
      <c r="C201" s="1273"/>
      <c r="D201" s="757" t="s">
        <v>1971</v>
      </c>
      <c r="E201" s="711" t="s">
        <v>344</v>
      </c>
      <c r="F201" s="811" t="s">
        <v>1558</v>
      </c>
      <c r="G201" s="805">
        <v>500000</v>
      </c>
    </row>
    <row r="202" spans="2:7" ht="15" customHeight="1">
      <c r="B202" s="1273"/>
      <c r="C202" s="1273"/>
      <c r="D202" s="757" t="s">
        <v>1559</v>
      </c>
      <c r="E202" s="711" t="s">
        <v>344</v>
      </c>
      <c r="F202" s="811" t="s">
        <v>1560</v>
      </c>
      <c r="G202" s="805">
        <v>2500000</v>
      </c>
    </row>
    <row r="203" spans="2:9" s="1046" customFormat="1" ht="15" customHeight="1">
      <c r="B203" s="1273"/>
      <c r="C203" s="1273"/>
      <c r="D203" s="1074" t="s">
        <v>2315</v>
      </c>
      <c r="E203" s="1064" t="s">
        <v>344</v>
      </c>
      <c r="F203" s="1057" t="s">
        <v>2316</v>
      </c>
      <c r="G203" s="1059">
        <v>3500000</v>
      </c>
      <c r="I203" s="1048"/>
    </row>
    <row r="204" spans="2:7" ht="15" customHeight="1">
      <c r="B204" s="1273"/>
      <c r="C204" s="1273"/>
      <c r="D204" s="757" t="s">
        <v>1561</v>
      </c>
      <c r="E204" s="711" t="s">
        <v>344</v>
      </c>
      <c r="F204" s="812" t="s">
        <v>1562</v>
      </c>
      <c r="G204" s="839">
        <v>2500000</v>
      </c>
    </row>
    <row r="205" spans="2:7" ht="15" customHeight="1">
      <c r="B205" s="1273"/>
      <c r="C205" s="1273"/>
      <c r="D205" s="757" t="s">
        <v>1563</v>
      </c>
      <c r="E205" s="711" t="s">
        <v>344</v>
      </c>
      <c r="F205" s="813" t="s">
        <v>1562</v>
      </c>
      <c r="G205" s="814">
        <v>150000</v>
      </c>
    </row>
    <row r="206" spans="2:7" ht="15" customHeight="1">
      <c r="B206" s="1273"/>
      <c r="C206" s="1273"/>
      <c r="D206" s="757" t="s">
        <v>1573</v>
      </c>
      <c r="E206" s="711" t="s">
        <v>388</v>
      </c>
      <c r="F206" s="813" t="s">
        <v>1574</v>
      </c>
      <c r="G206" s="823">
        <v>2500000</v>
      </c>
    </row>
    <row r="207" spans="2:7" ht="15" customHeight="1">
      <c r="B207" s="1273"/>
      <c r="C207" s="1273"/>
      <c r="D207" s="757" t="s">
        <v>1575</v>
      </c>
      <c r="E207" s="813" t="s">
        <v>388</v>
      </c>
      <c r="F207" s="813" t="s">
        <v>1574</v>
      </c>
      <c r="G207" s="823">
        <v>1500000</v>
      </c>
    </row>
    <row r="208" spans="2:7" ht="15" customHeight="1">
      <c r="B208" s="1273"/>
      <c r="C208" s="1273"/>
      <c r="D208" s="757" t="s">
        <v>1576</v>
      </c>
      <c r="E208" s="813" t="s">
        <v>388</v>
      </c>
      <c r="F208" s="757" t="s">
        <v>1577</v>
      </c>
      <c r="G208" s="823">
        <v>1000000</v>
      </c>
    </row>
    <row r="209" spans="2:7" ht="15" customHeight="1">
      <c r="B209" s="1273"/>
      <c r="C209" s="1273"/>
      <c r="D209" s="757" t="s">
        <v>2097</v>
      </c>
      <c r="E209" s="813" t="s">
        <v>388</v>
      </c>
      <c r="F209" s="757" t="s">
        <v>2096</v>
      </c>
      <c r="G209" s="954">
        <v>3000000</v>
      </c>
    </row>
    <row r="210" spans="2:7" ht="15" customHeight="1">
      <c r="B210" s="1273"/>
      <c r="C210" s="1273"/>
      <c r="D210" s="757" t="s">
        <v>2095</v>
      </c>
      <c r="E210" s="813" t="s">
        <v>388</v>
      </c>
      <c r="F210" s="757" t="s">
        <v>2096</v>
      </c>
      <c r="G210" s="954">
        <v>1000000</v>
      </c>
    </row>
    <row r="211" spans="2:7" ht="15" customHeight="1">
      <c r="B211" s="1273"/>
      <c r="C211" s="1273"/>
      <c r="D211" s="757" t="s">
        <v>1578</v>
      </c>
      <c r="E211" s="813" t="s">
        <v>388</v>
      </c>
      <c r="F211" s="757" t="s">
        <v>1579</v>
      </c>
      <c r="G211" s="954">
        <v>500000</v>
      </c>
    </row>
    <row r="212" spans="2:7" ht="15" customHeight="1">
      <c r="B212" s="1273"/>
      <c r="C212" s="1273"/>
      <c r="D212" s="442" t="s">
        <v>2019</v>
      </c>
      <c r="E212" s="442" t="s">
        <v>363</v>
      </c>
      <c r="F212" s="442" t="s">
        <v>364</v>
      </c>
      <c r="G212" s="441">
        <v>1500000</v>
      </c>
    </row>
    <row r="213" spans="2:7" ht="15" customHeight="1">
      <c r="B213" s="1273"/>
      <c r="C213" s="1273"/>
      <c r="D213" s="797" t="s">
        <v>2081</v>
      </c>
      <c r="E213" s="822" t="s">
        <v>363</v>
      </c>
      <c r="F213" s="813" t="s">
        <v>1597</v>
      </c>
      <c r="G213" s="825">
        <v>700000</v>
      </c>
    </row>
    <row r="214" spans="2:7" ht="15" customHeight="1">
      <c r="B214" s="1273"/>
      <c r="C214" s="1273"/>
      <c r="D214" s="797" t="s">
        <v>2080</v>
      </c>
      <c r="E214" s="822" t="s">
        <v>363</v>
      </c>
      <c r="F214" s="813" t="s">
        <v>1597</v>
      </c>
      <c r="G214" s="825">
        <v>3000000</v>
      </c>
    </row>
    <row r="215" spans="2:7" ht="15" customHeight="1">
      <c r="B215" s="1273"/>
      <c r="C215" s="1273"/>
      <c r="D215" s="797" t="s">
        <v>1598</v>
      </c>
      <c r="E215" s="822" t="s">
        <v>363</v>
      </c>
      <c r="F215" s="797" t="s">
        <v>1599</v>
      </c>
      <c r="G215" s="825">
        <v>500000</v>
      </c>
    </row>
    <row r="216" spans="2:7" ht="15" customHeight="1">
      <c r="B216" s="1273"/>
      <c r="C216" s="1273"/>
      <c r="D216" s="797" t="s">
        <v>1600</v>
      </c>
      <c r="E216" s="822" t="s">
        <v>363</v>
      </c>
      <c r="F216" s="822" t="s">
        <v>1599</v>
      </c>
      <c r="G216" s="825">
        <v>500000</v>
      </c>
    </row>
    <row r="217" spans="2:7" ht="15" customHeight="1">
      <c r="B217" s="1273"/>
      <c r="C217" s="1273"/>
      <c r="D217" s="797" t="s">
        <v>1601</v>
      </c>
      <c r="E217" s="822" t="s">
        <v>363</v>
      </c>
      <c r="F217" s="822" t="s">
        <v>1602</v>
      </c>
      <c r="G217" s="825">
        <v>1000000</v>
      </c>
    </row>
    <row r="218" spans="2:7" ht="15" customHeight="1">
      <c r="B218" s="1273"/>
      <c r="C218" s="1273"/>
      <c r="D218" s="797" t="s">
        <v>1603</v>
      </c>
      <c r="E218" s="822" t="s">
        <v>363</v>
      </c>
      <c r="F218" s="822" t="s">
        <v>1604</v>
      </c>
      <c r="G218" s="825">
        <v>150000</v>
      </c>
    </row>
    <row r="219" spans="2:7" ht="15" customHeight="1">
      <c r="B219" s="1273"/>
      <c r="C219" s="1273"/>
      <c r="D219" s="797" t="s">
        <v>1898</v>
      </c>
      <c r="E219" s="822" t="s">
        <v>363</v>
      </c>
      <c r="F219" s="822" t="s">
        <v>1604</v>
      </c>
      <c r="G219" s="825">
        <v>600000</v>
      </c>
    </row>
    <row r="220" spans="2:7" ht="15" customHeight="1">
      <c r="B220" s="1273"/>
      <c r="C220" s="1273"/>
      <c r="D220" s="827" t="s">
        <v>1899</v>
      </c>
      <c r="E220" s="822" t="s">
        <v>363</v>
      </c>
      <c r="F220" s="828" t="s">
        <v>1605</v>
      </c>
      <c r="G220" s="829">
        <v>500000</v>
      </c>
    </row>
    <row r="221" spans="2:7" ht="15" customHeight="1">
      <c r="B221" s="1273"/>
      <c r="C221" s="1273"/>
      <c r="D221" s="827" t="s">
        <v>1606</v>
      </c>
      <c r="E221" s="822" t="s">
        <v>363</v>
      </c>
      <c r="F221" s="797" t="s">
        <v>1605</v>
      </c>
      <c r="G221" s="829">
        <v>500000</v>
      </c>
    </row>
    <row r="222" spans="2:7" ht="15" customHeight="1">
      <c r="B222" s="1273"/>
      <c r="C222" s="1273"/>
      <c r="D222" s="711" t="s">
        <v>1607</v>
      </c>
      <c r="E222" s="711" t="s">
        <v>363</v>
      </c>
      <c r="F222" s="797" t="s">
        <v>1608</v>
      </c>
      <c r="G222" s="779">
        <v>2500000</v>
      </c>
    </row>
    <row r="223" spans="2:7" ht="15" customHeight="1">
      <c r="B223" s="1273"/>
      <c r="C223" s="1273"/>
      <c r="D223" s="757" t="s">
        <v>1631</v>
      </c>
      <c r="E223" s="757" t="s">
        <v>336</v>
      </c>
      <c r="F223" s="757" t="s">
        <v>1632</v>
      </c>
      <c r="G223" s="805">
        <v>10000000</v>
      </c>
    </row>
    <row r="224" spans="2:7" ht="15" customHeight="1">
      <c r="B224" s="1273"/>
      <c r="C224" s="1273"/>
      <c r="D224" s="757" t="s">
        <v>1633</v>
      </c>
      <c r="E224" s="757" t="s">
        <v>336</v>
      </c>
      <c r="F224" s="757" t="s">
        <v>1634</v>
      </c>
      <c r="G224" s="805">
        <v>600000</v>
      </c>
    </row>
    <row r="225" spans="2:7" ht="15" customHeight="1">
      <c r="B225" s="1273"/>
      <c r="C225" s="1273"/>
      <c r="D225" s="442" t="s">
        <v>1979</v>
      </c>
      <c r="E225" s="442" t="s">
        <v>464</v>
      </c>
      <c r="F225" s="442" t="s">
        <v>1648</v>
      </c>
      <c r="G225" s="443">
        <v>5900000</v>
      </c>
    </row>
    <row r="226" spans="2:7" ht="15" customHeight="1">
      <c r="B226" s="1273"/>
      <c r="C226" s="1273"/>
      <c r="D226" s="442" t="s">
        <v>2018</v>
      </c>
      <c r="E226" s="442" t="s">
        <v>464</v>
      </c>
      <c r="F226" s="442" t="s">
        <v>1648</v>
      </c>
      <c r="G226" s="443">
        <v>1500000</v>
      </c>
    </row>
    <row r="227" spans="2:7" ht="15" customHeight="1">
      <c r="B227" s="1273"/>
      <c r="C227" s="1273"/>
      <c r="D227" s="776" t="s">
        <v>1642</v>
      </c>
      <c r="E227" s="844" t="s">
        <v>464</v>
      </c>
      <c r="F227" s="776" t="s">
        <v>467</v>
      </c>
      <c r="G227" s="777">
        <v>5900000</v>
      </c>
    </row>
    <row r="228" spans="2:7" ht="15" customHeight="1">
      <c r="B228" s="1273"/>
      <c r="C228" s="1273"/>
      <c r="D228" s="757" t="s">
        <v>1643</v>
      </c>
      <c r="E228" s="757" t="s">
        <v>464</v>
      </c>
      <c r="F228" s="757" t="s">
        <v>462</v>
      </c>
      <c r="G228" s="805">
        <v>2700000</v>
      </c>
    </row>
    <row r="229" spans="2:7" ht="15" customHeight="1">
      <c r="B229" s="1273"/>
      <c r="C229" s="1273"/>
      <c r="D229" s="757" t="s">
        <v>1653</v>
      </c>
      <c r="E229" s="757" t="s">
        <v>442</v>
      </c>
      <c r="F229" s="757" t="s">
        <v>1654</v>
      </c>
      <c r="G229" s="805">
        <v>2700000</v>
      </c>
    </row>
    <row r="230" spans="2:7" ht="15" customHeight="1">
      <c r="B230" s="1273"/>
      <c r="C230" s="1273"/>
      <c r="D230" s="442" t="s">
        <v>1980</v>
      </c>
      <c r="E230" s="442" t="s">
        <v>442</v>
      </c>
      <c r="F230" s="442" t="s">
        <v>446</v>
      </c>
      <c r="G230" s="443">
        <v>5900000</v>
      </c>
    </row>
    <row r="231" spans="2:7" ht="15" customHeight="1">
      <c r="B231" s="1273"/>
      <c r="C231" s="1273"/>
      <c r="D231" s="442" t="s">
        <v>2017</v>
      </c>
      <c r="E231" s="442" t="s">
        <v>442</v>
      </c>
      <c r="F231" s="442" t="s">
        <v>446</v>
      </c>
      <c r="G231" s="443">
        <v>1500000</v>
      </c>
    </row>
    <row r="232" spans="2:7" ht="15" customHeight="1">
      <c r="B232" s="1273"/>
      <c r="C232" s="1273"/>
      <c r="D232" s="757" t="s">
        <v>1655</v>
      </c>
      <c r="E232" s="757" t="s">
        <v>442</v>
      </c>
      <c r="F232" s="757" t="s">
        <v>446</v>
      </c>
      <c r="G232" s="805">
        <v>1500000</v>
      </c>
    </row>
    <row r="233" spans="2:7" ht="15" customHeight="1">
      <c r="B233" s="1273"/>
      <c r="C233" s="1273"/>
      <c r="D233" s="757" t="s">
        <v>1656</v>
      </c>
      <c r="E233" s="757" t="s">
        <v>442</v>
      </c>
      <c r="F233" s="757" t="s">
        <v>446</v>
      </c>
      <c r="G233" s="805">
        <v>2700000</v>
      </c>
    </row>
    <row r="234" spans="2:7" ht="15" customHeight="1">
      <c r="B234" s="1273"/>
      <c r="C234" s="1273"/>
      <c r="D234" s="757" t="s">
        <v>1657</v>
      </c>
      <c r="E234" s="757" t="s">
        <v>442</v>
      </c>
      <c r="F234" s="757" t="s">
        <v>1438</v>
      </c>
      <c r="G234" s="805">
        <v>3000000</v>
      </c>
    </row>
    <row r="235" spans="2:7" ht="15" customHeight="1">
      <c r="B235" s="1273"/>
      <c r="C235" s="1273"/>
      <c r="D235" s="757" t="s">
        <v>2078</v>
      </c>
      <c r="E235" s="757" t="s">
        <v>427</v>
      </c>
      <c r="F235" s="757" t="s">
        <v>1679</v>
      </c>
      <c r="G235" s="825">
        <v>2500000</v>
      </c>
    </row>
    <row r="236" spans="2:7" ht="15" customHeight="1">
      <c r="B236" s="1273"/>
      <c r="C236" s="1273"/>
      <c r="D236" s="757" t="s">
        <v>2079</v>
      </c>
      <c r="E236" s="757" t="s">
        <v>427</v>
      </c>
      <c r="F236" s="757" t="s">
        <v>2060</v>
      </c>
      <c r="G236" s="825">
        <v>4500000</v>
      </c>
    </row>
    <row r="237" spans="2:7" ht="15" customHeight="1">
      <c r="B237" s="1273"/>
      <c r="C237" s="1273"/>
      <c r="D237" s="757" t="s">
        <v>2076</v>
      </c>
      <c r="E237" s="757" t="s">
        <v>427</v>
      </c>
      <c r="F237" s="757" t="s">
        <v>2077</v>
      </c>
      <c r="G237" s="805">
        <v>1750000</v>
      </c>
    </row>
    <row r="238" spans="2:7" ht="15" customHeight="1">
      <c r="B238" s="1273"/>
      <c r="C238" s="1273"/>
      <c r="D238" s="757" t="s">
        <v>1664</v>
      </c>
      <c r="E238" s="757" t="s">
        <v>427</v>
      </c>
      <c r="F238" s="757" t="s">
        <v>429</v>
      </c>
      <c r="G238" s="805">
        <v>2500000</v>
      </c>
    </row>
    <row r="239" spans="2:7" ht="15" customHeight="1">
      <c r="B239" s="1273"/>
      <c r="C239" s="1273"/>
      <c r="D239" s="757" t="s">
        <v>1665</v>
      </c>
      <c r="E239" s="757" t="s">
        <v>427</v>
      </c>
      <c r="F239" s="757" t="s">
        <v>1666</v>
      </c>
      <c r="G239" s="805">
        <v>600000</v>
      </c>
    </row>
    <row r="240" spans="2:7" ht="15" customHeight="1">
      <c r="B240" s="1273"/>
      <c r="C240" s="1273"/>
      <c r="D240" s="776" t="s">
        <v>2082</v>
      </c>
      <c r="E240" s="844" t="s">
        <v>427</v>
      </c>
      <c r="F240" s="776" t="s">
        <v>1667</v>
      </c>
      <c r="G240" s="777">
        <v>2500000</v>
      </c>
    </row>
    <row r="241" spans="2:7" ht="15" customHeight="1">
      <c r="B241" s="1273"/>
      <c r="C241" s="1273"/>
      <c r="D241" s="757" t="s">
        <v>1668</v>
      </c>
      <c r="E241" s="757" t="s">
        <v>427</v>
      </c>
      <c r="F241" s="757" t="s">
        <v>1669</v>
      </c>
      <c r="G241" s="805">
        <v>2700000</v>
      </c>
    </row>
    <row r="242" spans="2:7" ht="15" customHeight="1" thickBot="1">
      <c r="B242" s="1273"/>
      <c r="C242" s="1273"/>
      <c r="D242" s="757" t="s">
        <v>1670</v>
      </c>
      <c r="E242" s="757" t="s">
        <v>427</v>
      </c>
      <c r="F242" s="757" t="s">
        <v>428</v>
      </c>
      <c r="G242" s="805">
        <v>2500000</v>
      </c>
    </row>
    <row r="243" spans="2:7" ht="15" customHeight="1" thickBot="1">
      <c r="B243" s="710"/>
      <c r="C243" s="683"/>
      <c r="D243" s="446" t="s">
        <v>9</v>
      </c>
      <c r="E243" s="447"/>
      <c r="F243" s="447"/>
      <c r="G243" s="448">
        <f>SUM(G196:G242)</f>
        <v>101050000</v>
      </c>
    </row>
    <row r="244" spans="2:7" ht="15" customHeight="1">
      <c r="B244" s="1307">
        <v>3</v>
      </c>
      <c r="C244" s="1273" t="s">
        <v>966</v>
      </c>
      <c r="D244" s="846" t="s">
        <v>1900</v>
      </c>
      <c r="E244" s="849" t="s">
        <v>594</v>
      </c>
      <c r="F244" s="846" t="s">
        <v>1701</v>
      </c>
      <c r="G244" s="850">
        <v>500000</v>
      </c>
    </row>
    <row r="245" spans="2:7" ht="15" customHeight="1">
      <c r="B245" s="1307"/>
      <c r="C245" s="1273"/>
      <c r="D245" s="846" t="s">
        <v>1702</v>
      </c>
      <c r="E245" s="849" t="s">
        <v>594</v>
      </c>
      <c r="F245" s="846" t="s">
        <v>1701</v>
      </c>
      <c r="G245" s="850">
        <v>500000</v>
      </c>
    </row>
    <row r="246" spans="2:7" ht="15" customHeight="1">
      <c r="B246" s="1307"/>
      <c r="C246" s="1273"/>
      <c r="D246" s="846" t="s">
        <v>1703</v>
      </c>
      <c r="E246" s="849" t="s">
        <v>594</v>
      </c>
      <c r="F246" s="846" t="s">
        <v>1704</v>
      </c>
      <c r="G246" s="851">
        <v>300000</v>
      </c>
    </row>
    <row r="247" spans="2:7" ht="15" customHeight="1">
      <c r="B247" s="1307"/>
      <c r="C247" s="1273"/>
      <c r="D247" s="846" t="s">
        <v>1705</v>
      </c>
      <c r="E247" s="849" t="s">
        <v>594</v>
      </c>
      <c r="F247" s="846" t="s">
        <v>1704</v>
      </c>
      <c r="G247" s="851">
        <v>100000</v>
      </c>
    </row>
    <row r="248" spans="2:7" ht="15" customHeight="1">
      <c r="B248" s="1307"/>
      <c r="C248" s="1273"/>
      <c r="D248" s="846" t="s">
        <v>1901</v>
      </c>
      <c r="E248" s="849" t="s">
        <v>594</v>
      </c>
      <c r="F248" s="846" t="s">
        <v>1704</v>
      </c>
      <c r="G248" s="851">
        <v>1500000</v>
      </c>
    </row>
    <row r="249" spans="2:7" ht="15" customHeight="1">
      <c r="B249" s="1307"/>
      <c r="C249" s="1273"/>
      <c r="D249" s="846" t="s">
        <v>1706</v>
      </c>
      <c r="E249" s="849" t="s">
        <v>594</v>
      </c>
      <c r="F249" s="846" t="s">
        <v>1707</v>
      </c>
      <c r="G249" s="851">
        <v>1000000</v>
      </c>
    </row>
    <row r="250" spans="2:7" ht="15" customHeight="1">
      <c r="B250" s="1307"/>
      <c r="C250" s="1273"/>
      <c r="D250" s="846" t="s">
        <v>1708</v>
      </c>
      <c r="E250" s="849" t="s">
        <v>594</v>
      </c>
      <c r="F250" s="846" t="s">
        <v>1707</v>
      </c>
      <c r="G250" s="851">
        <v>2000000</v>
      </c>
    </row>
    <row r="251" spans="2:7" ht="15" customHeight="1">
      <c r="B251" s="1307"/>
      <c r="C251" s="1273"/>
      <c r="D251" s="846" t="s">
        <v>1709</v>
      </c>
      <c r="E251" s="849" t="s">
        <v>594</v>
      </c>
      <c r="F251" s="846" t="s">
        <v>1707</v>
      </c>
      <c r="G251" s="851">
        <v>150000</v>
      </c>
    </row>
    <row r="252" spans="2:9" s="1046" customFormat="1" ht="15" customHeight="1">
      <c r="B252" s="1307"/>
      <c r="C252" s="1273"/>
      <c r="D252" s="1075" t="s">
        <v>2336</v>
      </c>
      <c r="E252" s="1076" t="s">
        <v>594</v>
      </c>
      <c r="F252" s="1075" t="s">
        <v>1710</v>
      </c>
      <c r="G252" s="1077">
        <v>1000000</v>
      </c>
      <c r="I252" s="1048"/>
    </row>
    <row r="253" spans="2:9" s="1046" customFormat="1" ht="15" customHeight="1">
      <c r="B253" s="1307"/>
      <c r="C253" s="1273"/>
      <c r="D253" s="1076" t="s">
        <v>2337</v>
      </c>
      <c r="E253" s="1076" t="s">
        <v>594</v>
      </c>
      <c r="F253" s="1075" t="s">
        <v>1704</v>
      </c>
      <c r="G253" s="1077">
        <v>3000000</v>
      </c>
      <c r="I253" s="1048"/>
    </row>
    <row r="254" spans="2:7" ht="15" customHeight="1">
      <c r="B254" s="1307"/>
      <c r="C254" s="1273"/>
      <c r="D254" s="846" t="s">
        <v>1903</v>
      </c>
      <c r="E254" s="849" t="s">
        <v>594</v>
      </c>
      <c r="F254" s="846" t="s">
        <v>1710</v>
      </c>
      <c r="G254" s="851">
        <v>500000</v>
      </c>
    </row>
    <row r="255" spans="2:7" ht="15" customHeight="1">
      <c r="B255" s="1307"/>
      <c r="C255" s="1273"/>
      <c r="D255" s="846" t="s">
        <v>1902</v>
      </c>
      <c r="E255" s="849" t="s">
        <v>594</v>
      </c>
      <c r="F255" s="846" t="s">
        <v>1710</v>
      </c>
      <c r="G255" s="851">
        <v>2500000</v>
      </c>
    </row>
    <row r="256" spans="2:7" ht="15" customHeight="1">
      <c r="B256" s="1307"/>
      <c r="C256" s="1273"/>
      <c r="D256" s="855" t="s">
        <v>1717</v>
      </c>
      <c r="E256" s="442" t="s">
        <v>654</v>
      </c>
      <c r="F256" s="854" t="s">
        <v>1718</v>
      </c>
      <c r="G256" s="858" t="s">
        <v>1719</v>
      </c>
    </row>
    <row r="257" spans="2:7" ht="15" customHeight="1">
      <c r="B257" s="1307"/>
      <c r="C257" s="1273"/>
      <c r="D257" s="854" t="s">
        <v>1904</v>
      </c>
      <c r="E257" s="442" t="s">
        <v>654</v>
      </c>
      <c r="F257" s="854" t="s">
        <v>1718</v>
      </c>
      <c r="G257" s="443">
        <v>1000000</v>
      </c>
    </row>
    <row r="258" spans="2:7" ht="15" customHeight="1">
      <c r="B258" s="1307"/>
      <c r="C258" s="1273"/>
      <c r="D258" s="855" t="s">
        <v>1905</v>
      </c>
      <c r="E258" s="856" t="s">
        <v>654</v>
      </c>
      <c r="F258" s="854" t="s">
        <v>1718</v>
      </c>
      <c r="G258" s="857">
        <v>1500000</v>
      </c>
    </row>
    <row r="259" spans="2:7" ht="15" customHeight="1">
      <c r="B259" s="1307"/>
      <c r="C259" s="1273"/>
      <c r="D259" s="855" t="s">
        <v>1906</v>
      </c>
      <c r="E259" s="856" t="s">
        <v>654</v>
      </c>
      <c r="F259" s="854" t="s">
        <v>1718</v>
      </c>
      <c r="G259" s="857">
        <v>500000</v>
      </c>
    </row>
    <row r="260" spans="2:7" ht="15" customHeight="1">
      <c r="B260" s="1307"/>
      <c r="C260" s="1273"/>
      <c r="D260" s="855" t="s">
        <v>1720</v>
      </c>
      <c r="E260" s="856" t="s">
        <v>654</v>
      </c>
      <c r="F260" s="854" t="s">
        <v>1907</v>
      </c>
      <c r="G260" s="857">
        <v>500000</v>
      </c>
    </row>
    <row r="261" spans="2:7" ht="15" customHeight="1">
      <c r="B261" s="1307"/>
      <c r="C261" s="1273"/>
      <c r="D261" s="855" t="s">
        <v>1721</v>
      </c>
      <c r="E261" s="856" t="s">
        <v>654</v>
      </c>
      <c r="F261" s="854" t="s">
        <v>1907</v>
      </c>
      <c r="G261" s="857">
        <v>1200000</v>
      </c>
    </row>
    <row r="262" spans="2:7" ht="15" customHeight="1">
      <c r="B262" s="1307"/>
      <c r="C262" s="1273"/>
      <c r="D262" s="855" t="s">
        <v>1722</v>
      </c>
      <c r="E262" s="856" t="s">
        <v>654</v>
      </c>
      <c r="F262" s="854" t="s">
        <v>1907</v>
      </c>
      <c r="G262" s="857">
        <v>3000000</v>
      </c>
    </row>
    <row r="263" spans="2:7" ht="15" customHeight="1">
      <c r="B263" s="1307"/>
      <c r="C263" s="1273"/>
      <c r="D263" s="855" t="s">
        <v>1723</v>
      </c>
      <c r="E263" s="856" t="s">
        <v>654</v>
      </c>
      <c r="F263" s="854" t="s">
        <v>1907</v>
      </c>
      <c r="G263" s="857">
        <v>1500000</v>
      </c>
    </row>
    <row r="264" spans="2:7" ht="15" customHeight="1">
      <c r="B264" s="1307"/>
      <c r="C264" s="1273"/>
      <c r="D264" s="778" t="s">
        <v>1741</v>
      </c>
      <c r="E264" s="861" t="s">
        <v>682</v>
      </c>
      <c r="F264" s="778" t="s">
        <v>1742</v>
      </c>
      <c r="G264" s="779">
        <v>300000</v>
      </c>
    </row>
    <row r="265" spans="2:7" ht="15" customHeight="1">
      <c r="B265" s="1307"/>
      <c r="C265" s="1273"/>
      <c r="D265" s="778" t="s">
        <v>1992</v>
      </c>
      <c r="E265" s="861" t="s">
        <v>682</v>
      </c>
      <c r="F265" s="778" t="s">
        <v>1743</v>
      </c>
      <c r="G265" s="779">
        <v>100000</v>
      </c>
    </row>
    <row r="266" spans="2:7" ht="15" customHeight="1">
      <c r="B266" s="1307"/>
      <c r="C266" s="1273"/>
      <c r="D266" s="778" t="s">
        <v>1993</v>
      </c>
      <c r="E266" s="861" t="s">
        <v>682</v>
      </c>
      <c r="F266" s="778" t="s">
        <v>1743</v>
      </c>
      <c r="G266" s="779">
        <v>500000</v>
      </c>
    </row>
    <row r="267" spans="2:7" ht="15" customHeight="1">
      <c r="B267" s="1307"/>
      <c r="C267" s="1273"/>
      <c r="D267" s="778" t="s">
        <v>1744</v>
      </c>
      <c r="E267" s="861" t="s">
        <v>682</v>
      </c>
      <c r="F267" s="778" t="s">
        <v>1743</v>
      </c>
      <c r="G267" s="779">
        <v>1000000</v>
      </c>
    </row>
    <row r="268" spans="2:9" s="1046" customFormat="1" ht="15" customHeight="1">
      <c r="B268" s="1307"/>
      <c r="C268" s="1273"/>
      <c r="D268" s="1061" t="s">
        <v>2339</v>
      </c>
      <c r="E268" s="1064" t="s">
        <v>682</v>
      </c>
      <c r="F268" s="1061" t="s">
        <v>1749</v>
      </c>
      <c r="G268" s="1078">
        <v>2500000</v>
      </c>
      <c r="I268" s="1048"/>
    </row>
    <row r="269" spans="2:7" ht="15" customHeight="1">
      <c r="B269" s="1307"/>
      <c r="C269" s="1273"/>
      <c r="D269" s="778" t="s">
        <v>1745</v>
      </c>
      <c r="E269" s="861" t="s">
        <v>682</v>
      </c>
      <c r="F269" s="778" t="s">
        <v>1746</v>
      </c>
      <c r="G269" s="870">
        <v>1000000</v>
      </c>
    </row>
    <row r="270" spans="2:7" ht="15" customHeight="1">
      <c r="B270" s="1307"/>
      <c r="C270" s="1273"/>
      <c r="D270" s="778" t="s">
        <v>1747</v>
      </c>
      <c r="E270" s="861" t="s">
        <v>682</v>
      </c>
      <c r="F270" s="778" t="s">
        <v>1746</v>
      </c>
      <c r="G270" s="870">
        <v>500000</v>
      </c>
    </row>
    <row r="271" spans="2:7" ht="15" customHeight="1">
      <c r="B271" s="1307"/>
      <c r="C271" s="1273"/>
      <c r="D271" s="840" t="s">
        <v>1748</v>
      </c>
      <c r="E271" s="861" t="s">
        <v>682</v>
      </c>
      <c r="F271" s="711" t="s">
        <v>1749</v>
      </c>
      <c r="G271" s="862">
        <v>1000000</v>
      </c>
    </row>
    <row r="272" spans="2:7" ht="15" customHeight="1">
      <c r="B272" s="1307"/>
      <c r="C272" s="1273"/>
      <c r="D272" s="778" t="s">
        <v>1750</v>
      </c>
      <c r="E272" s="861" t="s">
        <v>682</v>
      </c>
      <c r="F272" s="711" t="s">
        <v>1749</v>
      </c>
      <c r="G272" s="786">
        <v>500000</v>
      </c>
    </row>
    <row r="273" spans="2:7" ht="15.75">
      <c r="B273" s="1307"/>
      <c r="C273" s="1273"/>
      <c r="D273" s="863" t="s">
        <v>1769</v>
      </c>
      <c r="E273" s="711" t="s">
        <v>719</v>
      </c>
      <c r="F273" s="866" t="s">
        <v>1770</v>
      </c>
      <c r="G273" s="870">
        <v>2000000</v>
      </c>
    </row>
    <row r="274" spans="2:7" ht="15" customHeight="1">
      <c r="B274" s="1307"/>
      <c r="C274" s="1273"/>
      <c r="D274" s="863" t="s">
        <v>1771</v>
      </c>
      <c r="E274" s="711" t="s">
        <v>719</v>
      </c>
      <c r="F274" s="778" t="s">
        <v>1770</v>
      </c>
      <c r="G274" s="786">
        <v>1500000</v>
      </c>
    </row>
    <row r="275" spans="2:7" ht="15" customHeight="1">
      <c r="B275" s="1307"/>
      <c r="C275" s="1273"/>
      <c r="D275" s="711" t="s">
        <v>1772</v>
      </c>
      <c r="E275" s="711" t="s">
        <v>719</v>
      </c>
      <c r="F275" s="778" t="s">
        <v>1770</v>
      </c>
      <c r="G275" s="779">
        <v>2000000</v>
      </c>
    </row>
    <row r="276" spans="2:7" ht="15" customHeight="1">
      <c r="B276" s="1307"/>
      <c r="C276" s="1273"/>
      <c r="D276" s="778" t="s">
        <v>1773</v>
      </c>
      <c r="E276" s="711" t="s">
        <v>719</v>
      </c>
      <c r="F276" s="778" t="s">
        <v>1774</v>
      </c>
      <c r="G276" s="779">
        <f>550000+180000</f>
        <v>730000</v>
      </c>
    </row>
    <row r="277" spans="2:7" ht="15" customHeight="1">
      <c r="B277" s="1307"/>
      <c r="C277" s="1273"/>
      <c r="D277" s="863" t="s">
        <v>1775</v>
      </c>
      <c r="E277" s="711" t="s">
        <v>719</v>
      </c>
      <c r="F277" s="778" t="s">
        <v>1774</v>
      </c>
      <c r="G277" s="870">
        <v>2500000</v>
      </c>
    </row>
    <row r="278" spans="2:7" ht="15" customHeight="1">
      <c r="B278" s="1307"/>
      <c r="C278" s="1273"/>
      <c r="D278" s="778" t="s">
        <v>1776</v>
      </c>
      <c r="E278" s="711" t="s">
        <v>719</v>
      </c>
      <c r="F278" s="714" t="s">
        <v>1777</v>
      </c>
      <c r="G278" s="870">
        <f>550000+4162</f>
        <v>554162</v>
      </c>
    </row>
    <row r="279" spans="2:7" ht="15" customHeight="1">
      <c r="B279" s="1307"/>
      <c r="C279" s="1273"/>
      <c r="D279" s="867" t="s">
        <v>1778</v>
      </c>
      <c r="E279" s="711" t="s">
        <v>719</v>
      </c>
      <c r="F279" s="714" t="s">
        <v>1777</v>
      </c>
      <c r="G279" s="779">
        <v>1500000</v>
      </c>
    </row>
    <row r="280" spans="2:7" ht="15" customHeight="1">
      <c r="B280" s="1307"/>
      <c r="C280" s="1273"/>
      <c r="D280" s="778" t="s">
        <v>1779</v>
      </c>
      <c r="E280" s="711" t="s">
        <v>719</v>
      </c>
      <c r="F280" s="714" t="s">
        <v>1777</v>
      </c>
      <c r="G280" s="713">
        <f>500000+180000</f>
        <v>680000</v>
      </c>
    </row>
    <row r="281" spans="2:7" ht="15" customHeight="1">
      <c r="B281" s="1307"/>
      <c r="C281" s="1273"/>
      <c r="D281" s="778" t="s">
        <v>1780</v>
      </c>
      <c r="E281" s="711" t="s">
        <v>719</v>
      </c>
      <c r="F281" s="714" t="s">
        <v>1777</v>
      </c>
      <c r="G281" s="713">
        <v>2000000</v>
      </c>
    </row>
    <row r="282" spans="2:9" s="1046" customFormat="1" ht="15" customHeight="1">
      <c r="B282" s="1307"/>
      <c r="C282" s="1273"/>
      <c r="D282" s="1079" t="s">
        <v>1790</v>
      </c>
      <c r="E282" s="1070" t="s">
        <v>918</v>
      </c>
      <c r="F282" s="1070" t="s">
        <v>1791</v>
      </c>
      <c r="G282" s="1080">
        <v>1500000</v>
      </c>
      <c r="I282" s="1048"/>
    </row>
    <row r="283" spans="1:9" s="1046" customFormat="1" ht="15" customHeight="1">
      <c r="A283" s="1046" t="s">
        <v>2274</v>
      </c>
      <c r="B283" s="1307"/>
      <c r="C283" s="1273"/>
      <c r="D283" s="1079" t="s">
        <v>2338</v>
      </c>
      <c r="E283" s="1070" t="s">
        <v>918</v>
      </c>
      <c r="F283" s="1070" t="s">
        <v>581</v>
      </c>
      <c r="G283" s="1080">
        <v>1500000</v>
      </c>
      <c r="I283" s="1048"/>
    </row>
    <row r="284" spans="2:7" ht="15" customHeight="1">
      <c r="B284" s="1307"/>
      <c r="C284" s="1273"/>
      <c r="D284" s="793" t="s">
        <v>1972</v>
      </c>
      <c r="E284" s="776" t="s">
        <v>918</v>
      </c>
      <c r="F284" s="776" t="s">
        <v>1791</v>
      </c>
      <c r="G284" s="905">
        <v>600000</v>
      </c>
    </row>
    <row r="285" spans="2:7" ht="15" customHeight="1">
      <c r="B285" s="1307"/>
      <c r="C285" s="1273"/>
      <c r="D285" s="793" t="s">
        <v>1792</v>
      </c>
      <c r="E285" s="776" t="s">
        <v>918</v>
      </c>
      <c r="F285" s="776" t="s">
        <v>921</v>
      </c>
      <c r="G285" s="905">
        <v>2000000</v>
      </c>
    </row>
    <row r="286" spans="2:7" ht="15" customHeight="1">
      <c r="B286" s="1307"/>
      <c r="C286" s="1273"/>
      <c r="D286" s="793" t="s">
        <v>1973</v>
      </c>
      <c r="E286" s="776" t="s">
        <v>918</v>
      </c>
      <c r="F286" s="776" t="s">
        <v>921</v>
      </c>
      <c r="G286" s="905">
        <v>500000</v>
      </c>
    </row>
    <row r="287" spans="2:7" ht="15" customHeight="1">
      <c r="B287" s="1307"/>
      <c r="C287" s="1273"/>
      <c r="D287" s="793" t="s">
        <v>1974</v>
      </c>
      <c r="E287" s="776" t="s">
        <v>918</v>
      </c>
      <c r="F287" s="776" t="s">
        <v>921</v>
      </c>
      <c r="G287" s="905">
        <v>600000</v>
      </c>
    </row>
    <row r="288" spans="2:7" ht="15" customHeight="1">
      <c r="B288" s="1307"/>
      <c r="C288" s="1273"/>
      <c r="D288" s="793" t="s">
        <v>1793</v>
      </c>
      <c r="E288" s="776" t="s">
        <v>918</v>
      </c>
      <c r="F288" s="776" t="s">
        <v>1789</v>
      </c>
      <c r="G288" s="905">
        <v>500000</v>
      </c>
    </row>
    <row r="289" spans="2:7" ht="15.75">
      <c r="B289" s="1307"/>
      <c r="C289" s="1273"/>
      <c r="D289" s="793" t="s">
        <v>1975</v>
      </c>
      <c r="E289" s="776" t="s">
        <v>918</v>
      </c>
      <c r="F289" s="776" t="s">
        <v>1789</v>
      </c>
      <c r="G289" s="905">
        <v>2000000</v>
      </c>
    </row>
    <row r="290" spans="2:7" ht="15" customHeight="1">
      <c r="B290" s="1307"/>
      <c r="C290" s="1273"/>
      <c r="D290" s="793" t="s">
        <v>1976</v>
      </c>
      <c r="E290" s="776" t="s">
        <v>918</v>
      </c>
      <c r="F290" s="776" t="s">
        <v>1789</v>
      </c>
      <c r="G290" s="905">
        <v>500000</v>
      </c>
    </row>
    <row r="291" spans="2:7" ht="15" customHeight="1">
      <c r="B291" s="1307"/>
      <c r="C291" s="1273"/>
      <c r="D291" s="793" t="s">
        <v>1794</v>
      </c>
      <c r="E291" s="776" t="s">
        <v>918</v>
      </c>
      <c r="F291" s="776" t="s">
        <v>1786</v>
      </c>
      <c r="G291" s="905">
        <v>500000</v>
      </c>
    </row>
    <row r="292" spans="2:7" ht="15" customHeight="1">
      <c r="B292" s="1307"/>
      <c r="C292" s="1273"/>
      <c r="D292" s="793" t="s">
        <v>1795</v>
      </c>
      <c r="E292" s="776" t="s">
        <v>918</v>
      </c>
      <c r="F292" s="776" t="s">
        <v>1786</v>
      </c>
      <c r="G292" s="905">
        <v>1000000</v>
      </c>
    </row>
    <row r="293" spans="2:7" ht="15" customHeight="1">
      <c r="B293" s="1307"/>
      <c r="C293" s="1273"/>
      <c r="D293" s="793" t="s">
        <v>1796</v>
      </c>
      <c r="E293" s="776" t="s">
        <v>918</v>
      </c>
      <c r="F293" s="776" t="s">
        <v>1786</v>
      </c>
      <c r="G293" s="905">
        <v>500000</v>
      </c>
    </row>
    <row r="294" spans="2:7" ht="16.5" thickBot="1">
      <c r="B294" s="1308"/>
      <c r="C294" s="1274"/>
      <c r="D294" s="449"/>
      <c r="E294" s="449"/>
      <c r="F294" s="449"/>
      <c r="G294" s="441"/>
    </row>
    <row r="295" spans="2:7" ht="15" customHeight="1" thickBot="1">
      <c r="B295" s="710"/>
      <c r="C295" s="683"/>
      <c r="D295" s="446" t="s">
        <v>9</v>
      </c>
      <c r="E295" s="447"/>
      <c r="F295" s="447"/>
      <c r="G295" s="448">
        <f>SUM(G244:G294)</f>
        <v>54814162</v>
      </c>
    </row>
    <row r="296" spans="2:7" ht="15" customHeight="1">
      <c r="B296" s="1278">
        <v>4</v>
      </c>
      <c r="C296" s="1278" t="s">
        <v>967</v>
      </c>
      <c r="D296" s="868" t="s">
        <v>2086</v>
      </c>
      <c r="E296" s="868" t="s">
        <v>755</v>
      </c>
      <c r="F296" s="868" t="s">
        <v>1814</v>
      </c>
      <c r="G296" s="777">
        <v>4000000</v>
      </c>
    </row>
    <row r="297" spans="2:7" ht="15" customHeight="1">
      <c r="B297" s="1273"/>
      <c r="C297" s="1273"/>
      <c r="D297" s="868" t="s">
        <v>2087</v>
      </c>
      <c r="E297" s="868" t="s">
        <v>755</v>
      </c>
      <c r="F297" s="868" t="s">
        <v>757</v>
      </c>
      <c r="G297" s="777">
        <v>300000</v>
      </c>
    </row>
    <row r="298" spans="2:7" ht="15" customHeight="1">
      <c r="B298" s="1273"/>
      <c r="C298" s="1273"/>
      <c r="D298" s="868" t="s">
        <v>2084</v>
      </c>
      <c r="E298" s="868" t="s">
        <v>755</v>
      </c>
      <c r="F298" s="868" t="s">
        <v>1815</v>
      </c>
      <c r="G298" s="777">
        <v>3000000</v>
      </c>
    </row>
    <row r="299" spans="2:7" ht="15" customHeight="1">
      <c r="B299" s="1273"/>
      <c r="C299" s="1273"/>
      <c r="D299" s="868" t="s">
        <v>2085</v>
      </c>
      <c r="E299" s="868" t="s">
        <v>755</v>
      </c>
      <c r="F299" s="868" t="s">
        <v>1816</v>
      </c>
      <c r="G299" s="777">
        <v>3000000</v>
      </c>
    </row>
    <row r="300" spans="2:7" ht="15" customHeight="1">
      <c r="B300" s="1273"/>
      <c r="C300" s="1273"/>
      <c r="D300" s="442" t="s">
        <v>2098</v>
      </c>
      <c r="E300" s="868" t="s">
        <v>755</v>
      </c>
      <c r="F300" s="868" t="s">
        <v>760</v>
      </c>
      <c r="G300" s="948">
        <v>200000</v>
      </c>
    </row>
    <row r="301" spans="2:7" ht="15" customHeight="1">
      <c r="B301" s="1273"/>
      <c r="C301" s="1273"/>
      <c r="D301" s="868" t="s">
        <v>1817</v>
      </c>
      <c r="E301" s="868" t="s">
        <v>755</v>
      </c>
      <c r="F301" s="868" t="s">
        <v>755</v>
      </c>
      <c r="G301" s="777">
        <v>9500000</v>
      </c>
    </row>
    <row r="302" spans="2:7" ht="15" customHeight="1">
      <c r="B302" s="1273"/>
      <c r="C302" s="1273"/>
      <c r="D302" s="776" t="s">
        <v>1819</v>
      </c>
      <c r="E302" s="776" t="s">
        <v>782</v>
      </c>
      <c r="F302" s="776" t="s">
        <v>783</v>
      </c>
      <c r="G302" s="777">
        <v>3000000</v>
      </c>
    </row>
    <row r="303" spans="2:7" ht="15" customHeight="1">
      <c r="B303" s="1273"/>
      <c r="C303" s="1273"/>
      <c r="D303" s="776" t="s">
        <v>1820</v>
      </c>
      <c r="E303" s="776" t="s">
        <v>782</v>
      </c>
      <c r="F303" s="776" t="s">
        <v>785</v>
      </c>
      <c r="G303" s="777">
        <v>1000000</v>
      </c>
    </row>
    <row r="304" spans="2:7" ht="15" customHeight="1">
      <c r="B304" s="1273"/>
      <c r="C304" s="1273"/>
      <c r="D304" s="831" t="s">
        <v>2090</v>
      </c>
      <c r="E304" s="831" t="s">
        <v>814</v>
      </c>
      <c r="F304" s="831" t="s">
        <v>2091</v>
      </c>
      <c r="G304" s="948">
        <v>1000000</v>
      </c>
    </row>
    <row r="305" spans="2:7" ht="15" customHeight="1">
      <c r="B305" s="1273"/>
      <c r="C305" s="1273"/>
      <c r="D305" s="831" t="s">
        <v>2089</v>
      </c>
      <c r="E305" s="831" t="s">
        <v>814</v>
      </c>
      <c r="F305" s="831" t="s">
        <v>2001</v>
      </c>
      <c r="G305" s="948">
        <v>3500000</v>
      </c>
    </row>
    <row r="306" spans="2:7" ht="15" customHeight="1">
      <c r="B306" s="1273"/>
      <c r="C306" s="1273"/>
      <c r="D306" s="793" t="s">
        <v>1828</v>
      </c>
      <c r="E306" s="831" t="s">
        <v>814</v>
      </c>
      <c r="F306" s="776" t="s">
        <v>1829</v>
      </c>
      <c r="G306" s="777">
        <v>3500000</v>
      </c>
    </row>
    <row r="307" spans="2:7" ht="15" customHeight="1">
      <c r="B307" s="1273"/>
      <c r="C307" s="1273"/>
      <c r="D307" s="776" t="s">
        <v>2088</v>
      </c>
      <c r="E307" s="831" t="s">
        <v>814</v>
      </c>
      <c r="F307" s="776" t="s">
        <v>1830</v>
      </c>
      <c r="G307" s="777">
        <v>1200000</v>
      </c>
    </row>
    <row r="308" spans="2:7" ht="15" customHeight="1">
      <c r="B308" s="1273"/>
      <c r="C308" s="1273"/>
      <c r="D308" s="776" t="s">
        <v>2083</v>
      </c>
      <c r="E308" s="831" t="s">
        <v>814</v>
      </c>
      <c r="F308" s="776" t="s">
        <v>1831</v>
      </c>
      <c r="G308" s="777">
        <v>5000000</v>
      </c>
    </row>
    <row r="309" spans="2:7" ht="15" customHeight="1">
      <c r="B309" s="1273"/>
      <c r="C309" s="1273"/>
      <c r="D309" s="776" t="s">
        <v>1832</v>
      </c>
      <c r="E309" s="831" t="s">
        <v>814</v>
      </c>
      <c r="F309" s="776" t="s">
        <v>1833</v>
      </c>
      <c r="G309" s="777">
        <v>2800000</v>
      </c>
    </row>
    <row r="310" spans="2:7" ht="15" customHeight="1" thickBot="1">
      <c r="B310" s="1274"/>
      <c r="C310" s="1274"/>
      <c r="D310" s="442" t="s">
        <v>2093</v>
      </c>
      <c r="E310" s="831" t="s">
        <v>814</v>
      </c>
      <c r="F310" s="442" t="s">
        <v>2094</v>
      </c>
      <c r="G310" s="443">
        <v>1000000</v>
      </c>
    </row>
    <row r="311" spans="2:7" ht="15" customHeight="1" thickBot="1">
      <c r="B311" s="710"/>
      <c r="C311" s="1280" t="s">
        <v>9</v>
      </c>
      <c r="D311" s="1281"/>
      <c r="E311" s="1281"/>
      <c r="F311" s="1282"/>
      <c r="G311" s="448">
        <f>SUM(G296:G310)</f>
        <v>42000000</v>
      </c>
    </row>
    <row r="312" spans="2:7" ht="15" customHeight="1" thickBot="1">
      <c r="B312" s="710"/>
      <c r="C312" s="1280" t="s">
        <v>295</v>
      </c>
      <c r="D312" s="1281"/>
      <c r="E312" s="1281"/>
      <c r="F312" s="1282"/>
      <c r="G312" s="448">
        <f>SUM(G311,G295,G243,G195)</f>
        <v>270253162.126</v>
      </c>
    </row>
    <row r="313" spans="2:7" ht="15" customHeight="1">
      <c r="B313" s="953"/>
      <c r="C313" s="941"/>
      <c r="D313" s="714" t="s">
        <v>2166</v>
      </c>
      <c r="E313" s="711" t="s">
        <v>782</v>
      </c>
      <c r="F313" s="711" t="s">
        <v>1870</v>
      </c>
      <c r="G313" s="713">
        <v>100000000</v>
      </c>
    </row>
    <row r="314" spans="2:7" ht="15" customHeight="1">
      <c r="B314" s="1307">
        <v>5</v>
      </c>
      <c r="C314" s="1279" t="s">
        <v>973</v>
      </c>
      <c r="D314" s="714" t="s">
        <v>1981</v>
      </c>
      <c r="E314" s="711" t="s">
        <v>782</v>
      </c>
      <c r="F314" s="711" t="s">
        <v>1871</v>
      </c>
      <c r="G314" s="713">
        <v>12000000</v>
      </c>
    </row>
    <row r="315" spans="2:7" ht="15" customHeight="1">
      <c r="B315" s="1307"/>
      <c r="C315" s="1279"/>
      <c r="D315" s="714" t="s">
        <v>1977</v>
      </c>
      <c r="E315" s="711" t="s">
        <v>782</v>
      </c>
      <c r="F315" s="711" t="s">
        <v>1871</v>
      </c>
      <c r="G315" s="713">
        <v>8000000</v>
      </c>
    </row>
    <row r="316" spans="2:7" ht="15" customHeight="1">
      <c r="B316" s="1307"/>
      <c r="C316" s="1279"/>
      <c r="D316" s="714" t="s">
        <v>1978</v>
      </c>
      <c r="E316" s="711" t="s">
        <v>336</v>
      </c>
      <c r="F316" s="711" t="s">
        <v>1872</v>
      </c>
      <c r="G316" s="713">
        <v>7000000</v>
      </c>
    </row>
    <row r="317" spans="2:7" ht="31.5">
      <c r="B317" s="1307"/>
      <c r="C317" s="1279"/>
      <c r="D317" s="714" t="s">
        <v>2223</v>
      </c>
      <c r="E317" s="711" t="s">
        <v>1864</v>
      </c>
      <c r="F317" s="711" t="s">
        <v>1864</v>
      </c>
      <c r="G317" s="713">
        <v>60000000</v>
      </c>
    </row>
    <row r="318" spans="2:7" ht="15" customHeight="1">
      <c r="B318" s="1307"/>
      <c r="C318" s="1279"/>
      <c r="D318" s="714" t="s">
        <v>2099</v>
      </c>
      <c r="E318" s="711" t="s">
        <v>782</v>
      </c>
      <c r="F318" s="711" t="s">
        <v>1871</v>
      </c>
      <c r="G318" s="713">
        <v>5000000</v>
      </c>
    </row>
    <row r="319" spans="2:7" ht="15" customHeight="1">
      <c r="B319" s="1307"/>
      <c r="C319" s="1279"/>
      <c r="D319" s="714" t="s">
        <v>2100</v>
      </c>
      <c r="E319" s="711" t="s">
        <v>782</v>
      </c>
      <c r="F319" s="711" t="s">
        <v>1871</v>
      </c>
      <c r="G319" s="713">
        <v>40000000</v>
      </c>
    </row>
    <row r="320" spans="2:7" ht="15" customHeight="1">
      <c r="B320" s="1307"/>
      <c r="C320" s="1279"/>
      <c r="D320" s="714" t="s">
        <v>1873</v>
      </c>
      <c r="E320" s="714" t="s">
        <v>1873</v>
      </c>
      <c r="F320" s="714" t="s">
        <v>1873</v>
      </c>
      <c r="G320" s="713">
        <v>20000000</v>
      </c>
    </row>
    <row r="321" spans="2:7" ht="15" customHeight="1">
      <c r="B321" s="1307"/>
      <c r="C321" s="1279"/>
      <c r="D321" s="714" t="s">
        <v>1982</v>
      </c>
      <c r="E321" s="714" t="s">
        <v>1982</v>
      </c>
      <c r="F321" s="714" t="s">
        <v>1982</v>
      </c>
      <c r="G321" s="713">
        <v>20000000</v>
      </c>
    </row>
    <row r="322" spans="2:7" ht="15.75">
      <c r="B322" s="1307"/>
      <c r="C322" s="1279"/>
      <c r="D322" s="714" t="s">
        <v>1874</v>
      </c>
      <c r="E322" s="714" t="s">
        <v>1874</v>
      </c>
      <c r="F322" s="714" t="s">
        <v>1874</v>
      </c>
      <c r="G322" s="713">
        <v>20000000</v>
      </c>
    </row>
    <row r="323" spans="2:7" ht="15.75">
      <c r="B323" s="1307"/>
      <c r="C323" s="1279"/>
      <c r="D323" s="714" t="s">
        <v>1483</v>
      </c>
      <c r="E323" s="714" t="s">
        <v>1483</v>
      </c>
      <c r="F323" s="714" t="s">
        <v>1483</v>
      </c>
      <c r="G323" s="713">
        <v>20000000</v>
      </c>
    </row>
    <row r="324" spans="2:7" ht="15" customHeight="1">
      <c r="B324" s="1307"/>
      <c r="C324" s="1279"/>
      <c r="D324" s="714" t="s">
        <v>1944</v>
      </c>
      <c r="E324" s="711" t="s">
        <v>1864</v>
      </c>
      <c r="F324" s="711" t="s">
        <v>1864</v>
      </c>
      <c r="G324" s="713">
        <v>50000000</v>
      </c>
    </row>
    <row r="325" spans="2:7" ht="15" customHeight="1" thickBot="1">
      <c r="B325" s="1308"/>
      <c r="C325" s="1294"/>
      <c r="D325" s="693" t="s">
        <v>2209</v>
      </c>
      <c r="E325" s="731" t="s">
        <v>1864</v>
      </c>
      <c r="F325" s="731" t="s">
        <v>1864</v>
      </c>
      <c r="G325" s="713">
        <v>20000000</v>
      </c>
    </row>
    <row r="326" spans="2:7" ht="15" customHeight="1" thickBot="1">
      <c r="B326" s="450"/>
      <c r="C326" s="450"/>
      <c r="D326" s="446" t="s">
        <v>9</v>
      </c>
      <c r="E326" s="447"/>
      <c r="F326" s="447"/>
      <c r="G326" s="448">
        <f>SUM(G313:G325)</f>
        <v>382000000</v>
      </c>
    </row>
    <row r="327" spans="2:7" ht="15" customHeight="1" thickBot="1">
      <c r="B327" s="684"/>
      <c r="C327" s="680"/>
      <c r="D327" s="449"/>
      <c r="E327" s="449"/>
      <c r="F327" s="449"/>
      <c r="G327" s="451"/>
    </row>
    <row r="328" spans="2:7" ht="15" customHeight="1" thickBot="1">
      <c r="B328" s="1280" t="s">
        <v>977</v>
      </c>
      <c r="C328" s="1281"/>
      <c r="D328" s="1281"/>
      <c r="E328" s="1281"/>
      <c r="F328" s="1282"/>
      <c r="G328" s="448">
        <f>SUM(G326,G312)</f>
        <v>652253162.1259999</v>
      </c>
    </row>
    <row r="329" spans="2:7" ht="15" customHeight="1">
      <c r="B329" s="684"/>
      <c r="C329" s="709"/>
      <c r="D329" s="681"/>
      <c r="E329" s="681"/>
      <c r="F329" s="709"/>
      <c r="G329" s="704"/>
    </row>
    <row r="330" spans="2:7" ht="15" customHeight="1">
      <c r="B330" s="1300" t="s">
        <v>484</v>
      </c>
      <c r="C330" s="1301"/>
      <c r="D330" s="1301"/>
      <c r="E330" s="1301"/>
      <c r="F330" s="1301"/>
      <c r="G330" s="1301"/>
    </row>
    <row r="331" spans="2:7" ht="15" customHeight="1">
      <c r="B331" s="685"/>
      <c r="C331" s="681"/>
      <c r="D331" s="681"/>
      <c r="E331" s="678"/>
      <c r="F331" s="679"/>
      <c r="G331" s="700"/>
    </row>
    <row r="332" spans="2:9" s="719" customFormat="1" ht="31.5">
      <c r="B332" s="715" t="s">
        <v>4</v>
      </c>
      <c r="C332" s="716" t="s">
        <v>481</v>
      </c>
      <c r="D332" s="717" t="s">
        <v>988</v>
      </c>
      <c r="E332" s="717" t="s">
        <v>7</v>
      </c>
      <c r="F332" s="716" t="s">
        <v>712</v>
      </c>
      <c r="G332" s="718" t="s">
        <v>5</v>
      </c>
      <c r="I332" s="1011"/>
    </row>
    <row r="333" spans="2:7" ht="15" customHeight="1">
      <c r="B333" s="1275">
        <v>1</v>
      </c>
      <c r="C333" s="1275" t="s">
        <v>963</v>
      </c>
      <c r="D333" s="714"/>
      <c r="E333" s="714"/>
      <c r="F333" s="714"/>
      <c r="G333" s="720"/>
    </row>
    <row r="334" spans="2:7" ht="15" customHeight="1" thickBot="1">
      <c r="B334" s="1274"/>
      <c r="C334" s="1274"/>
      <c r="D334" s="721"/>
      <c r="E334" s="444"/>
      <c r="F334" s="444"/>
      <c r="G334" s="722"/>
    </row>
    <row r="335" spans="2:7" ht="15" customHeight="1" thickBot="1">
      <c r="B335" s="723"/>
      <c r="C335" s="450"/>
      <c r="D335" s="446" t="s">
        <v>9</v>
      </c>
      <c r="E335" s="447"/>
      <c r="F335" s="447"/>
      <c r="G335" s="448">
        <f>SUM(G333:G334)</f>
        <v>0</v>
      </c>
    </row>
    <row r="336" spans="2:7" ht="15.75">
      <c r="B336" s="1278">
        <v>2</v>
      </c>
      <c r="C336" s="1278" t="s">
        <v>964</v>
      </c>
      <c r="D336" s="449"/>
      <c r="E336" s="449"/>
      <c r="F336" s="449"/>
      <c r="G336" s="451"/>
    </row>
    <row r="337" spans="2:7" ht="19.5" customHeight="1">
      <c r="B337" s="1273"/>
      <c r="C337" s="1273"/>
      <c r="D337" s="442"/>
      <c r="E337" s="442"/>
      <c r="F337" s="442"/>
      <c r="G337" s="443"/>
    </row>
    <row r="338" spans="2:7" ht="15" customHeight="1" thickBot="1">
      <c r="B338" s="1274"/>
      <c r="C338" s="1274"/>
      <c r="D338" s="721"/>
      <c r="E338" s="444"/>
      <c r="F338" s="444"/>
      <c r="G338" s="722"/>
    </row>
    <row r="339" spans="2:7" ht="15" customHeight="1" thickBot="1">
      <c r="B339" s="683"/>
      <c r="C339" s="1280" t="s">
        <v>9</v>
      </c>
      <c r="D339" s="1281"/>
      <c r="E339" s="1281"/>
      <c r="F339" s="1282"/>
      <c r="G339" s="448">
        <f>SUM(G336:G338)</f>
        <v>0</v>
      </c>
    </row>
    <row r="340" spans="2:7" ht="15.75" customHeight="1">
      <c r="B340" s="1278">
        <v>3</v>
      </c>
      <c r="C340" s="1278" t="s">
        <v>962</v>
      </c>
      <c r="D340" s="438"/>
      <c r="E340" s="438"/>
      <c r="F340" s="438"/>
      <c r="G340" s="439"/>
    </row>
    <row r="341" spans="2:7" ht="15.75">
      <c r="B341" s="1273"/>
      <c r="C341" s="1273"/>
      <c r="D341" s="438"/>
      <c r="E341" s="438"/>
      <c r="F341" s="438"/>
      <c r="G341" s="439"/>
    </row>
    <row r="342" spans="2:7" ht="15.75">
      <c r="B342" s="1273"/>
      <c r="C342" s="1273"/>
      <c r="D342" s="438"/>
      <c r="E342" s="438"/>
      <c r="F342" s="438"/>
      <c r="G342" s="439"/>
    </row>
    <row r="343" spans="2:7" ht="16.5" thickBot="1">
      <c r="B343" s="1274"/>
      <c r="C343" s="1274"/>
      <c r="D343" s="438"/>
      <c r="E343" s="438"/>
      <c r="F343" s="438"/>
      <c r="G343" s="439"/>
    </row>
    <row r="344" spans="2:7" ht="15" customHeight="1" thickBot="1">
      <c r="B344" s="683"/>
      <c r="C344" s="1280" t="s">
        <v>9</v>
      </c>
      <c r="D344" s="1281"/>
      <c r="E344" s="1281"/>
      <c r="F344" s="1282"/>
      <c r="G344" s="448">
        <f>SUM(G340:G343)</f>
        <v>0</v>
      </c>
    </row>
    <row r="345" spans="2:7" ht="32.25" thickBot="1">
      <c r="B345" s="909">
        <v>4</v>
      </c>
      <c r="C345" s="909" t="s">
        <v>967</v>
      </c>
      <c r="D345" s="868"/>
      <c r="E345" s="868"/>
      <c r="F345" s="776"/>
      <c r="G345" s="777"/>
    </row>
    <row r="346" spans="2:7" ht="15" customHeight="1" thickBot="1">
      <c r="B346" s="683"/>
      <c r="C346" s="1280" t="s">
        <v>9</v>
      </c>
      <c r="D346" s="1281"/>
      <c r="E346" s="1281"/>
      <c r="F346" s="1282"/>
      <c r="G346" s="448">
        <f>SUM(G345:G345)</f>
        <v>0</v>
      </c>
    </row>
    <row r="347" spans="2:7" ht="48" thickBot="1">
      <c r="B347" s="909">
        <v>5</v>
      </c>
      <c r="C347" s="910" t="s">
        <v>973</v>
      </c>
      <c r="D347" s="438" t="s">
        <v>1990</v>
      </c>
      <c r="E347" s="438" t="s">
        <v>1991</v>
      </c>
      <c r="F347" s="438" t="s">
        <v>1991</v>
      </c>
      <c r="G347" s="777">
        <v>10000000</v>
      </c>
    </row>
    <row r="348" spans="2:7" ht="15" customHeight="1" thickBot="1">
      <c r="B348" s="683"/>
      <c r="C348" s="1280" t="s">
        <v>9</v>
      </c>
      <c r="D348" s="1281"/>
      <c r="E348" s="1281"/>
      <c r="F348" s="1282"/>
      <c r="G348" s="448">
        <f>SUM(G347:G347)</f>
        <v>10000000</v>
      </c>
    </row>
    <row r="349" spans="2:7" ht="15" customHeight="1" thickBot="1">
      <c r="B349" s="724"/>
      <c r="C349" s="449"/>
      <c r="D349" s="449"/>
      <c r="E349" s="449"/>
      <c r="F349" s="725"/>
      <c r="G349" s="899"/>
    </row>
    <row r="350" spans="2:7" ht="15" customHeight="1" thickBot="1">
      <c r="B350" s="726"/>
      <c r="C350" s="1283" t="s">
        <v>978</v>
      </c>
      <c r="D350" s="1284"/>
      <c r="E350" s="1284"/>
      <c r="F350" s="1285"/>
      <c r="G350" s="727">
        <f>SUM(G348,G346,G344,G339,G335,G349)</f>
        <v>10000000</v>
      </c>
    </row>
    <row r="351" spans="2:7" ht="15" customHeight="1">
      <c r="B351" s="1336"/>
      <c r="C351" s="1337"/>
      <c r="D351" s="1337"/>
      <c r="E351" s="1337"/>
      <c r="F351" s="1337"/>
      <c r="G351" s="1338"/>
    </row>
    <row r="352" spans="2:7" ht="15" customHeight="1">
      <c r="B352" s="1317"/>
      <c r="C352" s="1298"/>
      <c r="D352" s="1298"/>
      <c r="E352" s="1298"/>
      <c r="F352" s="1298"/>
      <c r="G352" s="1326"/>
    </row>
    <row r="353" spans="2:7" ht="15" customHeight="1">
      <c r="B353" s="709"/>
      <c r="C353" s="1333" t="s">
        <v>991</v>
      </c>
      <c r="D353" s="1325"/>
      <c r="E353" s="1325"/>
      <c r="F353" s="1325"/>
      <c r="G353" s="1334"/>
    </row>
    <row r="354" spans="2:7" ht="15" customHeight="1">
      <c r="B354" s="1344"/>
      <c r="C354" s="1344"/>
      <c r="D354" s="1344"/>
      <c r="E354" s="1344"/>
      <c r="F354" s="1344"/>
      <c r="G354" s="1344"/>
    </row>
    <row r="355" spans="2:9" s="677" customFormat="1" ht="31.5">
      <c r="B355" s="690" t="s">
        <v>4</v>
      </c>
      <c r="C355" s="674" t="s">
        <v>481</v>
      </c>
      <c r="D355" s="675" t="s">
        <v>988</v>
      </c>
      <c r="E355" s="675" t="s">
        <v>7</v>
      </c>
      <c r="F355" s="674" t="s">
        <v>712</v>
      </c>
      <c r="G355" s="676" t="s">
        <v>5</v>
      </c>
      <c r="I355" s="1006"/>
    </row>
    <row r="356" spans="2:9" s="677" customFormat="1" ht="15.75">
      <c r="B356" s="1275">
        <v>1</v>
      </c>
      <c r="C356" s="1275" t="s">
        <v>968</v>
      </c>
      <c r="D356" s="442" t="s">
        <v>1866</v>
      </c>
      <c r="E356" s="442" t="s">
        <v>194</v>
      </c>
      <c r="F356" s="442" t="s">
        <v>1867</v>
      </c>
      <c r="G356" s="443">
        <v>9500000</v>
      </c>
      <c r="I356" s="1006"/>
    </row>
    <row r="357" spans="2:9" s="677" customFormat="1" ht="15.75">
      <c r="B357" s="1273"/>
      <c r="C357" s="1273"/>
      <c r="D357" s="438" t="s">
        <v>1924</v>
      </c>
      <c r="E357" s="438" t="s">
        <v>194</v>
      </c>
      <c r="F357" s="438" t="s">
        <v>1925</v>
      </c>
      <c r="G357" s="439">
        <v>3000000</v>
      </c>
      <c r="I357" s="1006"/>
    </row>
    <row r="358" spans="2:9" s="677" customFormat="1" ht="15.75">
      <c r="B358" s="1273"/>
      <c r="C358" s="1273"/>
      <c r="D358" s="449" t="s">
        <v>2107</v>
      </c>
      <c r="E358" s="449" t="s">
        <v>538</v>
      </c>
      <c r="F358" s="449" t="s">
        <v>1926</v>
      </c>
      <c r="G358" s="451">
        <v>5000000</v>
      </c>
      <c r="I358" s="1006"/>
    </row>
    <row r="359" spans="2:7" ht="15" customHeight="1">
      <c r="B359" s="1273"/>
      <c r="C359" s="1273"/>
      <c r="D359" s="449" t="s">
        <v>2107</v>
      </c>
      <c r="E359" s="444" t="s">
        <v>567</v>
      </c>
      <c r="F359" s="444" t="s">
        <v>1927</v>
      </c>
      <c r="G359" s="703">
        <v>5000000</v>
      </c>
    </row>
    <row r="360" spans="2:7" ht="15" customHeight="1" thickBot="1">
      <c r="B360" s="1273"/>
      <c r="C360" s="1273"/>
      <c r="D360" s="449" t="s">
        <v>2107</v>
      </c>
      <c r="E360" s="444" t="s">
        <v>890</v>
      </c>
      <c r="F360" s="442" t="s">
        <v>258</v>
      </c>
      <c r="G360" s="443">
        <v>5000000</v>
      </c>
    </row>
    <row r="361" spans="2:7" ht="15" customHeight="1" thickBot="1">
      <c r="B361" s="683"/>
      <c r="C361" s="447"/>
      <c r="D361" s="446" t="s">
        <v>9</v>
      </c>
      <c r="E361" s="447"/>
      <c r="F361" s="447"/>
      <c r="G361" s="448">
        <f>SUM(G356:G360)</f>
        <v>27500000</v>
      </c>
    </row>
    <row r="362" spans="2:7" ht="15" customHeight="1">
      <c r="B362" s="1273">
        <v>2</v>
      </c>
      <c r="C362" s="1273" t="s">
        <v>2211</v>
      </c>
      <c r="D362" s="449" t="s">
        <v>1924</v>
      </c>
      <c r="E362" s="449" t="s">
        <v>442</v>
      </c>
      <c r="F362" s="449" t="s">
        <v>1659</v>
      </c>
      <c r="G362" s="451">
        <v>2600000</v>
      </c>
    </row>
    <row r="363" spans="2:7" ht="15" customHeight="1">
      <c r="B363" s="1273"/>
      <c r="C363" s="1273"/>
      <c r="D363" s="714" t="s">
        <v>1658</v>
      </c>
      <c r="E363" s="714" t="s">
        <v>442</v>
      </c>
      <c r="F363" s="824" t="s">
        <v>1659</v>
      </c>
      <c r="G363" s="713">
        <v>3000000</v>
      </c>
    </row>
    <row r="364" spans="2:7" ht="15" customHeight="1">
      <c r="B364" s="1273"/>
      <c r="C364" s="1273"/>
      <c r="D364" s="442" t="s">
        <v>1924</v>
      </c>
      <c r="E364" s="442" t="s">
        <v>336</v>
      </c>
      <c r="F364" s="442" t="s">
        <v>2219</v>
      </c>
      <c r="G364" s="443">
        <v>16500000</v>
      </c>
    </row>
    <row r="365" spans="2:7" ht="15" customHeight="1">
      <c r="B365" s="1273"/>
      <c r="C365" s="1273"/>
      <c r="D365" s="442" t="s">
        <v>2102</v>
      </c>
      <c r="E365" s="442" t="s">
        <v>427</v>
      </c>
      <c r="F365" s="442" t="s">
        <v>2103</v>
      </c>
      <c r="G365" s="443">
        <v>4000000</v>
      </c>
    </row>
    <row r="366" spans="2:7" ht="15" customHeight="1">
      <c r="B366" s="1273"/>
      <c r="C366" s="1273"/>
      <c r="D366" s="449" t="s">
        <v>2107</v>
      </c>
      <c r="E366" s="444" t="s">
        <v>427</v>
      </c>
      <c r="F366" s="442" t="s">
        <v>427</v>
      </c>
      <c r="G366" s="443">
        <v>5000000</v>
      </c>
    </row>
    <row r="367" spans="2:7" ht="15" customHeight="1">
      <c r="B367" s="1273"/>
      <c r="C367" s="1273"/>
      <c r="D367" s="449" t="s">
        <v>2107</v>
      </c>
      <c r="E367" s="444" t="s">
        <v>427</v>
      </c>
      <c r="F367" s="442" t="s">
        <v>429</v>
      </c>
      <c r="G367" s="443">
        <v>5000000</v>
      </c>
    </row>
    <row r="368" spans="2:7" ht="15" customHeight="1">
      <c r="B368" s="1273"/>
      <c r="C368" s="1273"/>
      <c r="D368" s="714" t="s">
        <v>1564</v>
      </c>
      <c r="E368" s="714" t="s">
        <v>344</v>
      </c>
      <c r="F368" s="824" t="s">
        <v>344</v>
      </c>
      <c r="G368" s="713">
        <v>4500000</v>
      </c>
    </row>
    <row r="369" spans="2:7" ht="15" customHeight="1" thickBot="1">
      <c r="B369" s="1273"/>
      <c r="C369" s="1273"/>
      <c r="D369" s="711" t="s">
        <v>1609</v>
      </c>
      <c r="E369" s="830" t="s">
        <v>363</v>
      </c>
      <c r="F369" s="824" t="s">
        <v>1593</v>
      </c>
      <c r="G369" s="713">
        <f>550000+1100000</f>
        <v>1650000</v>
      </c>
    </row>
    <row r="370" spans="2:7" ht="15" customHeight="1" thickBot="1">
      <c r="B370" s="683"/>
      <c r="C370" s="447"/>
      <c r="D370" s="446" t="s">
        <v>9</v>
      </c>
      <c r="E370" s="447"/>
      <c r="F370" s="447"/>
      <c r="G370" s="448">
        <f>SUM(G362:G369)</f>
        <v>42250000</v>
      </c>
    </row>
    <row r="371" spans="2:7" ht="15" customHeight="1">
      <c r="B371" s="996">
        <v>3</v>
      </c>
      <c r="C371" s="1278" t="s">
        <v>962</v>
      </c>
      <c r="D371" s="449" t="s">
        <v>1924</v>
      </c>
      <c r="E371" s="444" t="s">
        <v>918</v>
      </c>
      <c r="F371" s="442" t="s">
        <v>1868</v>
      </c>
      <c r="G371" s="443">
        <v>3200000</v>
      </c>
    </row>
    <row r="372" spans="2:7" ht="15" customHeight="1">
      <c r="B372" s="995"/>
      <c r="C372" s="1273"/>
      <c r="D372" s="442" t="s">
        <v>1866</v>
      </c>
      <c r="E372" s="442" t="s">
        <v>918</v>
      </c>
      <c r="F372" s="442" t="s">
        <v>1868</v>
      </c>
      <c r="G372" s="443">
        <v>4000000</v>
      </c>
    </row>
    <row r="373" spans="2:7" ht="15" customHeight="1">
      <c r="B373" s="995"/>
      <c r="C373" s="1273"/>
      <c r="D373" s="449" t="s">
        <v>1924</v>
      </c>
      <c r="E373" s="444" t="s">
        <v>594</v>
      </c>
      <c r="F373" s="442" t="s">
        <v>608</v>
      </c>
      <c r="G373" s="443">
        <v>2700000</v>
      </c>
    </row>
    <row r="374" spans="2:7" ht="15" customHeight="1" thickBot="1">
      <c r="B374" s="997"/>
      <c r="C374" s="1274"/>
      <c r="D374" s="449" t="s">
        <v>1924</v>
      </c>
      <c r="E374" s="444" t="s">
        <v>682</v>
      </c>
      <c r="F374" s="442" t="s">
        <v>1730</v>
      </c>
      <c r="G374" s="443">
        <v>2600000</v>
      </c>
    </row>
    <row r="375" spans="2:7" ht="15" customHeight="1" thickBot="1">
      <c r="B375" s="683"/>
      <c r="C375" s="447"/>
      <c r="D375" s="446" t="s">
        <v>9</v>
      </c>
      <c r="E375" s="447"/>
      <c r="F375" s="447"/>
      <c r="G375" s="448">
        <f>SUM(G371:G374)</f>
        <v>12500000</v>
      </c>
    </row>
    <row r="376" spans="2:7" ht="15" customHeight="1">
      <c r="B376" s="1293">
        <v>4</v>
      </c>
      <c r="C376" s="1293" t="s">
        <v>967</v>
      </c>
      <c r="D376" s="449" t="s">
        <v>1924</v>
      </c>
      <c r="E376" s="444" t="s">
        <v>782</v>
      </c>
      <c r="F376" s="442" t="s">
        <v>359</v>
      </c>
      <c r="G376" s="443">
        <v>14000000</v>
      </c>
    </row>
    <row r="377" spans="2:7" ht="15" customHeight="1">
      <c r="B377" s="1279"/>
      <c r="C377" s="1279"/>
      <c r="D377" s="449" t="s">
        <v>1938</v>
      </c>
      <c r="E377" s="444" t="s">
        <v>782</v>
      </c>
      <c r="F377" s="442" t="s">
        <v>1939</v>
      </c>
      <c r="G377" s="443">
        <v>3000000</v>
      </c>
    </row>
    <row r="378" spans="2:7" ht="31.5">
      <c r="B378" s="1279">
        <v>4</v>
      </c>
      <c r="C378" s="1279"/>
      <c r="D378" s="793" t="s">
        <v>1921</v>
      </c>
      <c r="E378" s="793" t="s">
        <v>1837</v>
      </c>
      <c r="F378" s="776" t="s">
        <v>787</v>
      </c>
      <c r="G378" s="777">
        <v>1500000</v>
      </c>
    </row>
    <row r="379" spans="2:7" ht="15" customHeight="1">
      <c r="B379" s="1279"/>
      <c r="C379" s="1279"/>
      <c r="D379" s="776" t="s">
        <v>1922</v>
      </c>
      <c r="E379" s="793" t="s">
        <v>1837</v>
      </c>
      <c r="F379" s="776" t="s">
        <v>787</v>
      </c>
      <c r="G379" s="777">
        <v>3000000</v>
      </c>
    </row>
    <row r="380" spans="2:7" ht="15" customHeight="1">
      <c r="B380" s="1279"/>
      <c r="C380" s="1279"/>
      <c r="D380" s="776" t="s">
        <v>1823</v>
      </c>
      <c r="E380" s="793" t="s">
        <v>1837</v>
      </c>
      <c r="F380" s="776" t="s">
        <v>1824</v>
      </c>
      <c r="G380" s="777">
        <v>3850000</v>
      </c>
    </row>
    <row r="381" spans="2:7" ht="15" customHeight="1">
      <c r="B381" s="1279"/>
      <c r="C381" s="1279"/>
      <c r="D381" s="776" t="s">
        <v>1825</v>
      </c>
      <c r="E381" s="793" t="s">
        <v>1837</v>
      </c>
      <c r="F381" s="776" t="s">
        <v>785</v>
      </c>
      <c r="G381" s="777">
        <v>150000</v>
      </c>
    </row>
    <row r="382" spans="2:7" ht="16.5" customHeight="1">
      <c r="B382" s="1279"/>
      <c r="C382" s="1279"/>
      <c r="D382" s="758" t="s">
        <v>2101</v>
      </c>
      <c r="E382" s="762" t="s">
        <v>1837</v>
      </c>
      <c r="F382" s="758" t="s">
        <v>785</v>
      </c>
      <c r="G382" s="769">
        <v>1200000</v>
      </c>
    </row>
    <row r="383" spans="2:7" ht="16.5" customHeight="1">
      <c r="B383" s="1279"/>
      <c r="C383" s="1279"/>
      <c r="D383" s="449" t="s">
        <v>2107</v>
      </c>
      <c r="E383" s="442" t="s">
        <v>755</v>
      </c>
      <c r="F383" s="442" t="s">
        <v>2108</v>
      </c>
      <c r="G383" s="443">
        <v>5000000</v>
      </c>
    </row>
    <row r="384" spans="2:7" ht="16.5" customHeight="1">
      <c r="B384" s="1279"/>
      <c r="C384" s="1279"/>
      <c r="D384" s="449" t="s">
        <v>2107</v>
      </c>
      <c r="E384" s="442" t="s">
        <v>814</v>
      </c>
      <c r="F384" s="442" t="s">
        <v>2105</v>
      </c>
      <c r="G384" s="443">
        <v>5000000</v>
      </c>
    </row>
    <row r="385" spans="2:7" ht="16.5" customHeight="1">
      <c r="B385" s="1279"/>
      <c r="C385" s="1279"/>
      <c r="D385" s="449" t="s">
        <v>2107</v>
      </c>
      <c r="E385" s="442" t="s">
        <v>814</v>
      </c>
      <c r="F385" s="442" t="s">
        <v>2106</v>
      </c>
      <c r="G385" s="443">
        <v>5000000</v>
      </c>
    </row>
    <row r="386" spans="2:7" ht="15.75">
      <c r="B386" s="1279"/>
      <c r="C386" s="1279"/>
      <c r="D386" s="776" t="s">
        <v>1838</v>
      </c>
      <c r="E386" s="442" t="s">
        <v>814</v>
      </c>
      <c r="F386" s="776" t="s">
        <v>1834</v>
      </c>
      <c r="G386" s="777">
        <v>1000000</v>
      </c>
    </row>
    <row r="387" spans="2:7" ht="15" customHeight="1" thickBot="1">
      <c r="B387" s="1294"/>
      <c r="C387" s="1294"/>
      <c r="D387" s="776" t="s">
        <v>1839</v>
      </c>
      <c r="E387" s="442" t="s">
        <v>814</v>
      </c>
      <c r="F387" s="776" t="s">
        <v>1840</v>
      </c>
      <c r="G387" s="777">
        <v>1500000</v>
      </c>
    </row>
    <row r="388" spans="2:7" ht="15" customHeight="1" thickBot="1">
      <c r="B388" s="683"/>
      <c r="C388" s="447"/>
      <c r="D388" s="446" t="s">
        <v>9</v>
      </c>
      <c r="E388" s="447"/>
      <c r="F388" s="447"/>
      <c r="G388" s="448">
        <f>SUM(G376:G387)</f>
        <v>44200000</v>
      </c>
    </row>
    <row r="389" spans="2:7" ht="15" customHeight="1">
      <c r="B389" s="1273">
        <v>5</v>
      </c>
      <c r="C389" s="1273" t="s">
        <v>973</v>
      </c>
      <c r="D389" s="442" t="s">
        <v>1860</v>
      </c>
      <c r="E389" s="442" t="s">
        <v>782</v>
      </c>
      <c r="F389" s="442" t="s">
        <v>782</v>
      </c>
      <c r="G389" s="443">
        <v>0</v>
      </c>
    </row>
    <row r="390" spans="2:7" ht="47.25">
      <c r="B390" s="1273"/>
      <c r="C390" s="1273"/>
      <c r="D390" s="442" t="s">
        <v>2104</v>
      </c>
      <c r="E390" s="442" t="s">
        <v>814</v>
      </c>
      <c r="F390" s="442" t="s">
        <v>814</v>
      </c>
      <c r="G390" s="443">
        <v>6000000</v>
      </c>
    </row>
    <row r="391" spans="2:7" ht="15" customHeight="1">
      <c r="B391" s="1273"/>
      <c r="C391" s="1273"/>
      <c r="D391" s="442" t="s">
        <v>1863</v>
      </c>
      <c r="E391" s="442" t="s">
        <v>1864</v>
      </c>
      <c r="F391" s="442" t="s">
        <v>1864</v>
      </c>
      <c r="G391" s="443">
        <v>6000000</v>
      </c>
    </row>
    <row r="392" spans="2:7" ht="15" customHeight="1">
      <c r="B392" s="1273"/>
      <c r="C392" s="1273"/>
      <c r="D392" s="442" t="s">
        <v>1865</v>
      </c>
      <c r="E392" s="442" t="s">
        <v>782</v>
      </c>
      <c r="F392" s="442" t="s">
        <v>782</v>
      </c>
      <c r="G392" s="443">
        <v>30000000</v>
      </c>
    </row>
    <row r="393" spans="2:7" ht="15" customHeight="1">
      <c r="B393" s="1273"/>
      <c r="C393" s="1273"/>
      <c r="D393" s="442" t="s">
        <v>2215</v>
      </c>
      <c r="E393" s="442" t="s">
        <v>1958</v>
      </c>
      <c r="F393" s="442" t="s">
        <v>1958</v>
      </c>
      <c r="G393" s="443">
        <v>3000000</v>
      </c>
    </row>
    <row r="394" spans="2:7" ht="15" customHeight="1">
      <c r="B394" s="1273"/>
      <c r="C394" s="1273"/>
      <c r="D394" s="442" t="s">
        <v>2216</v>
      </c>
      <c r="E394" s="442" t="s">
        <v>2217</v>
      </c>
      <c r="F394" s="442" t="s">
        <v>782</v>
      </c>
      <c r="G394" s="443">
        <v>5000000</v>
      </c>
    </row>
    <row r="395" spans="2:7" ht="15" customHeight="1">
      <c r="B395" s="1273"/>
      <c r="C395" s="1273"/>
      <c r="D395" s="442" t="s">
        <v>1954</v>
      </c>
      <c r="E395" s="442" t="s">
        <v>1864</v>
      </c>
      <c r="F395" s="442" t="s">
        <v>1864</v>
      </c>
      <c r="G395" s="443">
        <v>40000000</v>
      </c>
    </row>
    <row r="396" spans="2:7" ht="15" customHeight="1" thickBot="1">
      <c r="B396" s="1273"/>
      <c r="C396" s="1273"/>
      <c r="D396" s="442" t="s">
        <v>1983</v>
      </c>
      <c r="E396" s="442" t="s">
        <v>979</v>
      </c>
      <c r="F396" s="442" t="s">
        <v>979</v>
      </c>
      <c r="G396" s="443">
        <v>15000000</v>
      </c>
    </row>
    <row r="397" spans="2:7" ht="15" customHeight="1" thickBot="1">
      <c r="B397" s="683"/>
      <c r="C397" s="447"/>
      <c r="D397" s="446" t="s">
        <v>9</v>
      </c>
      <c r="E397" s="447"/>
      <c r="F397" s="447"/>
      <c r="G397" s="448">
        <f>SUM(G389:G396)</f>
        <v>105000000</v>
      </c>
    </row>
    <row r="398" spans="2:7" ht="15" customHeight="1" thickBot="1">
      <c r="B398" s="442"/>
      <c r="C398" s="442"/>
      <c r="D398" s="442"/>
      <c r="E398" s="443"/>
      <c r="F398" s="442"/>
      <c r="G398" s="443"/>
    </row>
    <row r="399" spans="2:7" ht="15" customHeight="1" thickBot="1">
      <c r="B399" s="726"/>
      <c r="C399" s="728"/>
      <c r="D399" s="1283" t="s">
        <v>980</v>
      </c>
      <c r="E399" s="1284"/>
      <c r="F399" s="1285"/>
      <c r="G399" s="727">
        <f>SUM(G397,G388,G375,G370,G361)</f>
        <v>231450000</v>
      </c>
    </row>
    <row r="400" spans="2:7" ht="15" customHeight="1">
      <c r="B400" s="729"/>
      <c r="C400" s="707"/>
      <c r="D400" s="708"/>
      <c r="E400" s="708"/>
      <c r="F400" s="707"/>
      <c r="G400" s="730"/>
    </row>
    <row r="401" spans="2:7" ht="15" customHeight="1">
      <c r="B401" s="1325" t="s">
        <v>485</v>
      </c>
      <c r="C401" s="1325"/>
      <c r="D401" s="1325"/>
      <c r="E401" s="1325"/>
      <c r="F401" s="1325"/>
      <c r="G401" s="1325"/>
    </row>
    <row r="402" spans="2:9" s="677" customFormat="1" ht="31.5">
      <c r="B402" s="690" t="s">
        <v>4</v>
      </c>
      <c r="C402" s="674" t="s">
        <v>481</v>
      </c>
      <c r="D402" s="675" t="s">
        <v>988</v>
      </c>
      <c r="E402" s="675" t="s">
        <v>7</v>
      </c>
      <c r="F402" s="674" t="s">
        <v>712</v>
      </c>
      <c r="G402" s="676" t="s">
        <v>5</v>
      </c>
      <c r="I402" s="1006"/>
    </row>
    <row r="403" spans="2:9" s="677" customFormat="1" ht="15.75">
      <c r="B403" s="1275">
        <v>1</v>
      </c>
      <c r="C403" s="1275" t="s">
        <v>194</v>
      </c>
      <c r="D403" s="1112" t="s">
        <v>2111</v>
      </c>
      <c r="E403" s="1112" t="s">
        <v>538</v>
      </c>
      <c r="F403" s="1113"/>
      <c r="G403" s="1114">
        <v>12000000</v>
      </c>
      <c r="I403" s="1006"/>
    </row>
    <row r="404" spans="2:9" s="1081" customFormat="1" ht="15.75">
      <c r="B404" s="1273"/>
      <c r="C404" s="1273"/>
      <c r="D404" s="1115" t="s">
        <v>2300</v>
      </c>
      <c r="E404" s="1115" t="s">
        <v>567</v>
      </c>
      <c r="F404" s="1115" t="s">
        <v>567</v>
      </c>
      <c r="G404" s="1116">
        <v>5000000</v>
      </c>
      <c r="I404" s="1082"/>
    </row>
    <row r="405" spans="2:9" s="1046" customFormat="1" ht="15" customHeight="1" thickBot="1">
      <c r="B405" s="1274"/>
      <c r="C405" s="1274"/>
      <c r="D405" s="1067" t="s">
        <v>2204</v>
      </c>
      <c r="E405" s="1067" t="s">
        <v>567</v>
      </c>
      <c r="F405" s="1067" t="s">
        <v>573</v>
      </c>
      <c r="G405" s="1083">
        <v>20276752</v>
      </c>
      <c r="I405" s="1048"/>
    </row>
    <row r="406" spans="2:7" ht="15" customHeight="1" thickBot="1">
      <c r="B406" s="450"/>
      <c r="C406" s="450"/>
      <c r="D406" s="1101" t="s">
        <v>9</v>
      </c>
      <c r="E406" s="1102"/>
      <c r="F406" s="1102"/>
      <c r="G406" s="1103">
        <f>SUM(G403:G405)</f>
        <v>37276752</v>
      </c>
    </row>
    <row r="407" spans="2:7" ht="31.5">
      <c r="B407" s="1278">
        <v>2</v>
      </c>
      <c r="C407" s="1278" t="s">
        <v>960</v>
      </c>
      <c r="D407" s="815" t="s">
        <v>1940</v>
      </c>
      <c r="E407" s="785" t="s">
        <v>344</v>
      </c>
      <c r="F407" s="770" t="s">
        <v>1565</v>
      </c>
      <c r="G407" s="713">
        <v>7200000</v>
      </c>
    </row>
    <row r="408" spans="2:7" ht="15.75">
      <c r="B408" s="1273"/>
      <c r="C408" s="1273"/>
      <c r="D408" s="998" t="s">
        <v>2109</v>
      </c>
      <c r="E408" s="999" t="s">
        <v>344</v>
      </c>
      <c r="F408" s="999" t="s">
        <v>1569</v>
      </c>
      <c r="G408" s="1000">
        <v>10000000</v>
      </c>
    </row>
    <row r="409" spans="2:7" ht="15.75">
      <c r="B409" s="1273"/>
      <c r="C409" s="1273"/>
      <c r="D409" s="757" t="s">
        <v>1580</v>
      </c>
      <c r="E409" s="802" t="s">
        <v>388</v>
      </c>
      <c r="F409" s="802" t="s">
        <v>388</v>
      </c>
      <c r="G409" s="777">
        <v>7000000</v>
      </c>
    </row>
    <row r="410" spans="2:7" ht="15" customHeight="1">
      <c r="B410" s="1273"/>
      <c r="C410" s="1273"/>
      <c r="D410" s="1117" t="s">
        <v>1635</v>
      </c>
      <c r="E410" s="788" t="s">
        <v>336</v>
      </c>
      <c r="F410" s="787" t="s">
        <v>341</v>
      </c>
      <c r="G410" s="767">
        <v>1500000</v>
      </c>
    </row>
    <row r="411" spans="2:9" s="1046" customFormat="1" ht="15" customHeight="1">
      <c r="B411" s="1273"/>
      <c r="C411" s="1273"/>
      <c r="D411" s="1099" t="s">
        <v>2309</v>
      </c>
      <c r="E411" s="1067" t="s">
        <v>442</v>
      </c>
      <c r="F411" s="1067" t="s">
        <v>2310</v>
      </c>
      <c r="G411" s="1068">
        <v>3000000</v>
      </c>
      <c r="I411" s="1048"/>
    </row>
    <row r="412" spans="2:9" s="1046" customFormat="1" ht="15" customHeight="1">
      <c r="B412" s="1273"/>
      <c r="C412" s="1273"/>
      <c r="D412" s="1099" t="s">
        <v>2311</v>
      </c>
      <c r="E412" s="1067" t="s">
        <v>442</v>
      </c>
      <c r="F412" s="1067" t="s">
        <v>2312</v>
      </c>
      <c r="G412" s="1068">
        <v>3000000</v>
      </c>
      <c r="I412" s="1048"/>
    </row>
    <row r="413" spans="2:9" s="1046" customFormat="1" ht="15" customHeight="1">
      <c r="B413" s="1273"/>
      <c r="C413" s="1273"/>
      <c r="D413" s="1099" t="s">
        <v>2313</v>
      </c>
      <c r="E413" s="1067" t="s">
        <v>442</v>
      </c>
      <c r="F413" s="1067" t="s">
        <v>2314</v>
      </c>
      <c r="G413" s="1068">
        <v>1276752</v>
      </c>
      <c r="I413" s="1048"/>
    </row>
    <row r="414" spans="2:9" s="939" customFormat="1" ht="15" customHeight="1">
      <c r="B414" s="1273"/>
      <c r="C414" s="1273"/>
      <c r="D414" s="1118" t="s">
        <v>2205</v>
      </c>
      <c r="E414" s="1119" t="s">
        <v>363</v>
      </c>
      <c r="F414" s="1119" t="s">
        <v>2179</v>
      </c>
      <c r="G414" s="1120">
        <v>10000000</v>
      </c>
      <c r="I414" s="1007"/>
    </row>
    <row r="415" spans="2:9" s="939" customFormat="1" ht="15" customHeight="1" thickBot="1">
      <c r="B415" s="1273"/>
      <c r="C415" s="1273"/>
      <c r="D415" s="998" t="s">
        <v>2203</v>
      </c>
      <c r="E415" s="999" t="s">
        <v>464</v>
      </c>
      <c r="F415" s="999" t="s">
        <v>2180</v>
      </c>
      <c r="G415" s="1000">
        <v>6000000</v>
      </c>
      <c r="I415" s="1007"/>
    </row>
    <row r="416" spans="2:7" ht="15" customHeight="1" thickBot="1">
      <c r="B416" s="450"/>
      <c r="C416" s="450"/>
      <c r="D416" s="446" t="s">
        <v>9</v>
      </c>
      <c r="E416" s="447"/>
      <c r="F416" s="447"/>
      <c r="G416" s="448">
        <f>SUM(G407:G415)</f>
        <v>48976752</v>
      </c>
    </row>
    <row r="417" spans="2:9" s="1046" customFormat="1" ht="15" customHeight="1">
      <c r="B417" s="1270">
        <v>3</v>
      </c>
      <c r="C417" s="1267" t="s">
        <v>962</v>
      </c>
      <c r="D417" s="1104" t="s">
        <v>2257</v>
      </c>
      <c r="E417" s="1105" t="s">
        <v>682</v>
      </c>
      <c r="F417" s="1105" t="s">
        <v>2259</v>
      </c>
      <c r="G417" s="1106">
        <v>3000000</v>
      </c>
      <c r="I417" s="1048"/>
    </row>
    <row r="418" spans="2:9" s="1046" customFormat="1" ht="15" customHeight="1">
      <c r="B418" s="1271"/>
      <c r="C418" s="1268"/>
      <c r="D418" s="1104" t="s">
        <v>2296</v>
      </c>
      <c r="E418" s="1105" t="s">
        <v>682</v>
      </c>
      <c r="F418" s="1105" t="s">
        <v>2297</v>
      </c>
      <c r="G418" s="1106">
        <v>4000000</v>
      </c>
      <c r="I418" s="1048"/>
    </row>
    <row r="419" spans="2:9" s="1046" customFormat="1" ht="15" customHeight="1">
      <c r="B419" s="1271"/>
      <c r="C419" s="1268"/>
      <c r="D419" s="1104" t="s">
        <v>2258</v>
      </c>
      <c r="E419" s="1105" t="s">
        <v>682</v>
      </c>
      <c r="F419" s="1105" t="s">
        <v>1446</v>
      </c>
      <c r="G419" s="1106">
        <v>4055350.4</v>
      </c>
      <c r="I419" s="1048"/>
    </row>
    <row r="420" spans="2:9" s="1046" customFormat="1" ht="15" customHeight="1">
      <c r="B420" s="1271"/>
      <c r="C420" s="1268"/>
      <c r="D420" s="1107" t="s">
        <v>2299</v>
      </c>
      <c r="E420" s="1105" t="s">
        <v>594</v>
      </c>
      <c r="F420" s="1105" t="s">
        <v>2298</v>
      </c>
      <c r="G420" s="1106">
        <v>5000000</v>
      </c>
      <c r="I420" s="1048"/>
    </row>
    <row r="421" spans="2:9" s="1046" customFormat="1" ht="15" customHeight="1">
      <c r="B421" s="1271"/>
      <c r="C421" s="1268"/>
      <c r="D421" s="1107" t="s">
        <v>2307</v>
      </c>
      <c r="E421" s="1105" t="s">
        <v>594</v>
      </c>
      <c r="F421" s="1105" t="s">
        <v>2308</v>
      </c>
      <c r="G421" s="1106">
        <v>11055350.4</v>
      </c>
      <c r="I421" s="1048"/>
    </row>
    <row r="422" spans="2:9" s="1044" customFormat="1" ht="15" customHeight="1">
      <c r="B422" s="1271"/>
      <c r="C422" s="1268"/>
      <c r="D422" s="1108" t="s">
        <v>1897</v>
      </c>
      <c r="E422" s="1109" t="s">
        <v>594</v>
      </c>
      <c r="F422" s="1110" t="s">
        <v>1711</v>
      </c>
      <c r="G422" s="1111">
        <v>4000000</v>
      </c>
      <c r="I422" s="1045"/>
    </row>
    <row r="423" spans="2:9" s="1046" customFormat="1" ht="15" customHeight="1">
      <c r="B423" s="1271"/>
      <c r="C423" s="1268"/>
      <c r="D423" s="1104" t="s">
        <v>2260</v>
      </c>
      <c r="E423" s="1105" t="s">
        <v>918</v>
      </c>
      <c r="F423" s="1105" t="s">
        <v>2306</v>
      </c>
      <c r="G423" s="1106">
        <v>5500000</v>
      </c>
      <c r="I423" s="1048"/>
    </row>
    <row r="424" spans="2:9" s="1046" customFormat="1" ht="15" customHeight="1">
      <c r="B424" s="1271"/>
      <c r="C424" s="1268"/>
      <c r="D424" s="1104" t="s">
        <v>2261</v>
      </c>
      <c r="E424" s="1105" t="s">
        <v>918</v>
      </c>
      <c r="F424" s="1105" t="s">
        <v>1789</v>
      </c>
      <c r="G424" s="1106">
        <v>3000000</v>
      </c>
      <c r="I424" s="1048"/>
    </row>
    <row r="425" spans="2:9" s="1046" customFormat="1" ht="15" customHeight="1">
      <c r="B425" s="1271"/>
      <c r="C425" s="1268"/>
      <c r="D425" s="1104" t="s">
        <v>2262</v>
      </c>
      <c r="E425" s="1105" t="s">
        <v>918</v>
      </c>
      <c r="F425" s="1105" t="s">
        <v>919</v>
      </c>
      <c r="G425" s="1106">
        <v>2555350.4</v>
      </c>
      <c r="I425" s="1048"/>
    </row>
    <row r="426" spans="2:9" s="1046" customFormat="1" ht="15" customHeight="1">
      <c r="B426" s="1271"/>
      <c r="C426" s="1268"/>
      <c r="D426" s="1104" t="s">
        <v>2305</v>
      </c>
      <c r="E426" s="1105" t="s">
        <v>654</v>
      </c>
      <c r="F426" s="1105" t="s">
        <v>654</v>
      </c>
      <c r="G426" s="1106">
        <v>11055350.4</v>
      </c>
      <c r="I426" s="1048"/>
    </row>
    <row r="427" spans="2:9" s="1046" customFormat="1" ht="15" customHeight="1">
      <c r="B427" s="1271"/>
      <c r="C427" s="1268"/>
      <c r="D427" s="1104" t="s">
        <v>2301</v>
      </c>
      <c r="E427" s="1105" t="s">
        <v>719</v>
      </c>
      <c r="F427" s="1105" t="s">
        <v>2263</v>
      </c>
      <c r="G427" s="1106">
        <v>5000000</v>
      </c>
      <c r="I427" s="1048"/>
    </row>
    <row r="428" spans="2:9" s="1046" customFormat="1" ht="15" customHeight="1">
      <c r="B428" s="1271"/>
      <c r="C428" s="1268"/>
      <c r="D428" s="1104" t="s">
        <v>2302</v>
      </c>
      <c r="E428" s="1105" t="s">
        <v>719</v>
      </c>
      <c r="F428" s="1105" t="s">
        <v>727</v>
      </c>
      <c r="G428" s="1106">
        <v>3030000</v>
      </c>
      <c r="I428" s="1048"/>
    </row>
    <row r="429" spans="2:9" s="1046" customFormat="1" ht="16.5" thickBot="1">
      <c r="B429" s="1272"/>
      <c r="C429" s="1269"/>
      <c r="D429" s="1104" t="s">
        <v>2303</v>
      </c>
      <c r="E429" s="1105" t="s">
        <v>719</v>
      </c>
      <c r="F429" s="1105" t="s">
        <v>2304</v>
      </c>
      <c r="G429" s="1106">
        <v>3025350.4</v>
      </c>
      <c r="I429" s="1048"/>
    </row>
    <row r="430" spans="2:7" ht="15" customHeight="1" thickBot="1">
      <c r="B430" s="450"/>
      <c r="C430" s="450"/>
      <c r="D430" s="446" t="s">
        <v>9</v>
      </c>
      <c r="E430" s="447"/>
      <c r="F430" s="447"/>
      <c r="G430" s="448">
        <f>G417+G418+G419+G420+G421+G422+G423+G424+G425+G426+G427+G428+G429</f>
        <v>64276751.99999999</v>
      </c>
    </row>
    <row r="431" spans="2:7" ht="15.75" customHeight="1">
      <c r="B431" s="1273">
        <v>4</v>
      </c>
      <c r="C431" s="1329" t="s">
        <v>2207</v>
      </c>
      <c r="D431" s="868" t="s">
        <v>1818</v>
      </c>
      <c r="E431" s="868" t="s">
        <v>755</v>
      </c>
      <c r="F431" s="868" t="s">
        <v>757</v>
      </c>
      <c r="G431" s="777">
        <v>1000000</v>
      </c>
    </row>
    <row r="432" spans="2:7" ht="15.75" customHeight="1">
      <c r="B432" s="1273"/>
      <c r="C432" s="1329"/>
      <c r="D432" s="1004" t="s">
        <v>2114</v>
      </c>
      <c r="E432" s="1004" t="s">
        <v>755</v>
      </c>
      <c r="F432" s="1004" t="s">
        <v>755</v>
      </c>
      <c r="G432" s="1000">
        <v>15000000</v>
      </c>
    </row>
    <row r="433" spans="2:7" ht="15.75" customHeight="1">
      <c r="B433" s="1273"/>
      <c r="C433" s="1329"/>
      <c r="D433" s="1004" t="s">
        <v>2116</v>
      </c>
      <c r="E433" s="1004" t="s">
        <v>782</v>
      </c>
      <c r="F433" s="1004" t="s">
        <v>785</v>
      </c>
      <c r="G433" s="1000">
        <v>5276752</v>
      </c>
    </row>
    <row r="434" spans="2:7" ht="15" customHeight="1">
      <c r="B434" s="1273"/>
      <c r="C434" s="1329"/>
      <c r="D434" s="776" t="s">
        <v>1880</v>
      </c>
      <c r="E434" s="776" t="s">
        <v>782</v>
      </c>
      <c r="F434" s="776" t="s">
        <v>787</v>
      </c>
      <c r="G434" s="777">
        <v>3300000</v>
      </c>
    </row>
    <row r="435" spans="2:7" ht="15.75">
      <c r="B435" s="1273"/>
      <c r="C435" s="1329"/>
      <c r="D435" s="776" t="s">
        <v>1826</v>
      </c>
      <c r="E435" s="776" t="s">
        <v>782</v>
      </c>
      <c r="F435" s="776" t="s">
        <v>1827</v>
      </c>
      <c r="G435" s="777">
        <v>3000000</v>
      </c>
    </row>
    <row r="436" spans="2:7" ht="15" customHeight="1">
      <c r="B436" s="1273"/>
      <c r="C436" s="1329"/>
      <c r="D436" s="776" t="s">
        <v>1879</v>
      </c>
      <c r="E436" s="1004" t="s">
        <v>814</v>
      </c>
      <c r="F436" s="776" t="s">
        <v>1834</v>
      </c>
      <c r="G436" s="777">
        <v>3000000</v>
      </c>
    </row>
    <row r="437" spans="2:7" ht="15" customHeight="1">
      <c r="B437" s="1273"/>
      <c r="C437" s="1329"/>
      <c r="D437" s="776" t="s">
        <v>2210</v>
      </c>
      <c r="E437" s="1004" t="s">
        <v>814</v>
      </c>
      <c r="F437" s="776" t="s">
        <v>1834</v>
      </c>
      <c r="G437" s="777">
        <v>4000000</v>
      </c>
    </row>
    <row r="438" spans="2:7" ht="31.5">
      <c r="B438" s="1273"/>
      <c r="C438" s="1329"/>
      <c r="D438" s="758" t="s">
        <v>1878</v>
      </c>
      <c r="E438" s="1123" t="s">
        <v>814</v>
      </c>
      <c r="F438" s="793" t="s">
        <v>1984</v>
      </c>
      <c r="G438" s="769">
        <v>4375000</v>
      </c>
    </row>
    <row r="439" spans="2:7" ht="15" customHeight="1" thickBot="1">
      <c r="B439" s="1274"/>
      <c r="C439" s="1330"/>
      <c r="D439" s="776" t="s">
        <v>1835</v>
      </c>
      <c r="E439" s="1004" t="s">
        <v>814</v>
      </c>
      <c r="F439" s="776" t="s">
        <v>1836</v>
      </c>
      <c r="G439" s="777">
        <v>2500000</v>
      </c>
    </row>
    <row r="440" spans="2:7" ht="15" customHeight="1" thickBot="1">
      <c r="B440" s="450"/>
      <c r="C440" s="450"/>
      <c r="D440" s="446" t="s">
        <v>9</v>
      </c>
      <c r="E440" s="447"/>
      <c r="F440" s="447"/>
      <c r="G440" s="448">
        <f>SUM(G431:G439)</f>
        <v>41451752</v>
      </c>
    </row>
    <row r="441" spans="2:7" ht="15" customHeight="1">
      <c r="B441" s="1278">
        <v>5</v>
      </c>
      <c r="C441" s="1278" t="s">
        <v>973</v>
      </c>
      <c r="D441" s="442" t="s">
        <v>2222</v>
      </c>
      <c r="E441" s="442"/>
      <c r="F441" s="442"/>
      <c r="G441" s="443"/>
    </row>
    <row r="442" spans="2:7" ht="15" customHeight="1">
      <c r="B442" s="1273"/>
      <c r="C442" s="1273"/>
      <c r="D442" s="1004" t="s">
        <v>2177</v>
      </c>
      <c r="E442" s="1004" t="s">
        <v>814</v>
      </c>
      <c r="F442" s="1004" t="s">
        <v>2091</v>
      </c>
      <c r="G442" s="1000">
        <v>15000000</v>
      </c>
    </row>
    <row r="443" spans="2:7" ht="15" customHeight="1">
      <c r="B443" s="1273"/>
      <c r="C443" s="1273"/>
      <c r="D443" s="1004" t="s">
        <v>2181</v>
      </c>
      <c r="E443" s="1004" t="s">
        <v>814</v>
      </c>
      <c r="F443" s="1004" t="s">
        <v>1829</v>
      </c>
      <c r="G443" s="1000">
        <v>10000000</v>
      </c>
    </row>
    <row r="444" spans="2:7" ht="15" customHeight="1">
      <c r="B444" s="1273"/>
      <c r="C444" s="1273"/>
      <c r="D444" s="1004" t="s">
        <v>2115</v>
      </c>
      <c r="E444" s="1004" t="s">
        <v>814</v>
      </c>
      <c r="F444" s="1004" t="s">
        <v>815</v>
      </c>
      <c r="G444" s="1000">
        <v>10000000</v>
      </c>
    </row>
    <row r="445" spans="2:7" ht="15" customHeight="1">
      <c r="B445" s="1273"/>
      <c r="C445" s="1273"/>
      <c r="D445" s="1015" t="s">
        <v>1660</v>
      </c>
      <c r="E445" s="1016" t="s">
        <v>442</v>
      </c>
      <c r="F445" s="1016" t="s">
        <v>1440</v>
      </c>
      <c r="G445" s="1000"/>
    </row>
    <row r="446" spans="2:7" ht="15" customHeight="1">
      <c r="B446" s="1273"/>
      <c r="C446" s="1273"/>
      <c r="D446" s="998" t="s">
        <v>2178</v>
      </c>
      <c r="E446" s="999" t="s">
        <v>442</v>
      </c>
      <c r="F446" s="999" t="s">
        <v>467</v>
      </c>
      <c r="G446" s="1000">
        <v>10000000</v>
      </c>
    </row>
    <row r="447" spans="2:7" ht="15" customHeight="1">
      <c r="B447" s="1273"/>
      <c r="C447" s="1273"/>
      <c r="D447" s="998" t="s">
        <v>2110</v>
      </c>
      <c r="E447" s="999" t="s">
        <v>427</v>
      </c>
      <c r="F447" s="999" t="s">
        <v>427</v>
      </c>
      <c r="G447" s="1000">
        <v>8000000</v>
      </c>
    </row>
    <row r="448" spans="2:9" s="1046" customFormat="1" ht="15" customHeight="1">
      <c r="B448" s="1273"/>
      <c r="C448" s="1273"/>
      <c r="D448" s="1074" t="s">
        <v>2295</v>
      </c>
      <c r="E448" s="1085" t="s">
        <v>427</v>
      </c>
      <c r="F448" s="1085" t="s">
        <v>429</v>
      </c>
      <c r="G448" s="1071">
        <v>3500000</v>
      </c>
      <c r="I448" s="1048"/>
    </row>
    <row r="449" spans="2:9" ht="15" customHeight="1">
      <c r="B449" s="1273"/>
      <c r="C449" s="1273"/>
      <c r="D449" s="998" t="s">
        <v>2112</v>
      </c>
      <c r="E449" s="999" t="s">
        <v>427</v>
      </c>
      <c r="F449" s="999" t="s">
        <v>1679</v>
      </c>
      <c r="G449" s="1000">
        <v>10000000</v>
      </c>
      <c r="I449" s="1017"/>
    </row>
    <row r="450" spans="2:9" ht="15" customHeight="1">
      <c r="B450" s="1273"/>
      <c r="C450" s="1273"/>
      <c r="D450" s="998" t="s">
        <v>2113</v>
      </c>
      <c r="E450" s="999" t="s">
        <v>442</v>
      </c>
      <c r="F450" s="999" t="s">
        <v>442</v>
      </c>
      <c r="G450" s="1000">
        <v>10000000</v>
      </c>
      <c r="I450" s="1017"/>
    </row>
    <row r="451" spans="2:7" ht="15" customHeight="1">
      <c r="B451" s="1273"/>
      <c r="C451" s="1273"/>
      <c r="D451" s="1018" t="s">
        <v>1504</v>
      </c>
      <c r="E451" s="1019" t="s">
        <v>1451</v>
      </c>
      <c r="F451" s="770" t="s">
        <v>864</v>
      </c>
      <c r="G451" s="713">
        <v>30000000</v>
      </c>
    </row>
    <row r="452" spans="2:7" ht="15" customHeight="1">
      <c r="B452" s="1273"/>
      <c r="C452" s="1273"/>
      <c r="D452" s="442" t="s">
        <v>1876</v>
      </c>
      <c r="E452" s="442" t="s">
        <v>782</v>
      </c>
      <c r="F452" s="442" t="s">
        <v>1870</v>
      </c>
      <c r="G452" s="443">
        <f>190000000+15660000+5000000</f>
        <v>210660000</v>
      </c>
    </row>
    <row r="453" spans="2:7" ht="15" customHeight="1" thickBot="1">
      <c r="B453" s="1274"/>
      <c r="C453" s="1274"/>
      <c r="D453" s="442" t="s">
        <v>1877</v>
      </c>
      <c r="E453" s="442" t="s">
        <v>336</v>
      </c>
      <c r="F453" s="442" t="s">
        <v>1875</v>
      </c>
      <c r="G453" s="445">
        <v>100000000</v>
      </c>
    </row>
    <row r="454" spans="2:7" ht="15" customHeight="1" thickBot="1">
      <c r="B454" s="450"/>
      <c r="C454" s="450"/>
      <c r="D454" s="446" t="s">
        <v>9</v>
      </c>
      <c r="E454" s="447"/>
      <c r="F454" s="447"/>
      <c r="G454" s="448">
        <f>SUM(G441:G453)</f>
        <v>417160000</v>
      </c>
    </row>
    <row r="455" spans="2:7" ht="15" customHeight="1" thickBot="1">
      <c r="B455" s="726"/>
      <c r="C455" s="728"/>
      <c r="D455" s="732" t="s">
        <v>982</v>
      </c>
      <c r="E455" s="733"/>
      <c r="F455" s="733"/>
      <c r="G455" s="727">
        <f>SUM(G454,G440,G430,G416,G406)</f>
        <v>609142008</v>
      </c>
    </row>
    <row r="456" spans="2:7" ht="15" customHeight="1">
      <c r="B456" s="729"/>
      <c r="C456" s="707"/>
      <c r="D456" s="708"/>
      <c r="E456" s="708"/>
      <c r="F456" s="707"/>
      <c r="G456" s="730"/>
    </row>
    <row r="457" spans="2:7" ht="15" customHeight="1">
      <c r="B457" s="750"/>
      <c r="C457" s="1300" t="s">
        <v>983</v>
      </c>
      <c r="D457" s="1301"/>
      <c r="E457" s="1301"/>
      <c r="F457" s="1301"/>
      <c r="G457" s="1301"/>
    </row>
    <row r="458" spans="2:7" ht="15" customHeight="1">
      <c r="B458" s="680"/>
      <c r="C458" s="449"/>
      <c r="D458" s="449"/>
      <c r="E458" s="449"/>
      <c r="F458" s="725"/>
      <c r="G458" s="700"/>
    </row>
    <row r="459" spans="2:9" s="677" customFormat="1" ht="31.5">
      <c r="B459" s="690" t="s">
        <v>4</v>
      </c>
      <c r="C459" s="674" t="s">
        <v>481</v>
      </c>
      <c r="D459" s="675" t="s">
        <v>988</v>
      </c>
      <c r="E459" s="675" t="s">
        <v>7</v>
      </c>
      <c r="F459" s="674" t="s">
        <v>712</v>
      </c>
      <c r="G459" s="676" t="s">
        <v>5</v>
      </c>
      <c r="I459" s="1006"/>
    </row>
    <row r="460" spans="2:7" ht="15" customHeight="1">
      <c r="B460" s="1273">
        <v>1</v>
      </c>
      <c r="C460" s="1273" t="s">
        <v>968</v>
      </c>
      <c r="D460" s="793" t="s">
        <v>1505</v>
      </c>
      <c r="E460" s="795" t="s">
        <v>1451</v>
      </c>
      <c r="F460" s="758" t="s">
        <v>864</v>
      </c>
      <c r="G460" s="769">
        <v>5000000</v>
      </c>
    </row>
    <row r="461" spans="2:7" ht="15" customHeight="1">
      <c r="B461" s="1273"/>
      <c r="C461" s="1273"/>
      <c r="D461" s="800" t="s">
        <v>2117</v>
      </c>
      <c r="E461" s="795" t="s">
        <v>1451</v>
      </c>
      <c r="F461" s="758" t="s">
        <v>864</v>
      </c>
      <c r="G461" s="955">
        <v>1500000</v>
      </c>
    </row>
    <row r="462" spans="2:3" ht="15.75">
      <c r="B462" s="1273"/>
      <c r="C462" s="1273"/>
    </row>
    <row r="463" spans="2:7" ht="31.5">
      <c r="B463" s="1273"/>
      <c r="C463" s="1273"/>
      <c r="D463" s="794" t="s">
        <v>2118</v>
      </c>
      <c r="E463" s="795" t="s">
        <v>1451</v>
      </c>
      <c r="F463" s="796" t="s">
        <v>864</v>
      </c>
      <c r="G463" s="871">
        <v>5000000</v>
      </c>
    </row>
    <row r="464" spans="2:7" ht="15" customHeight="1">
      <c r="B464" s="1273"/>
      <c r="C464" s="1273"/>
      <c r="D464" s="768" t="s">
        <v>2119</v>
      </c>
      <c r="E464" s="757" t="s">
        <v>1451</v>
      </c>
      <c r="F464" s="797" t="s">
        <v>872</v>
      </c>
      <c r="G464" s="825">
        <v>1500000</v>
      </c>
    </row>
    <row r="465" spans="2:7" ht="15" customHeight="1">
      <c r="B465" s="1273"/>
      <c r="C465" s="1273"/>
      <c r="D465" s="768" t="s">
        <v>2123</v>
      </c>
      <c r="E465" s="757" t="s">
        <v>1451</v>
      </c>
      <c r="F465" s="951" t="s">
        <v>2124</v>
      </c>
      <c r="G465" s="956">
        <v>5000000</v>
      </c>
    </row>
    <row r="466" spans="2:7" ht="15" customHeight="1">
      <c r="B466" s="1273"/>
      <c r="C466" s="1273"/>
      <c r="D466" s="768" t="s">
        <v>1506</v>
      </c>
      <c r="E466" s="757" t="s">
        <v>1451</v>
      </c>
      <c r="F466" s="449" t="s">
        <v>864</v>
      </c>
      <c r="G466" s="451">
        <v>1600000</v>
      </c>
    </row>
    <row r="467" spans="2:7" ht="15" customHeight="1">
      <c r="B467" s="1273"/>
      <c r="C467" s="1273"/>
      <c r="D467" s="768" t="s">
        <v>1507</v>
      </c>
      <c r="E467" s="757" t="s">
        <v>1451</v>
      </c>
      <c r="F467" s="449" t="s">
        <v>1452</v>
      </c>
      <c r="G467" s="451">
        <v>5000000</v>
      </c>
    </row>
    <row r="468" spans="2:7" ht="15" customHeight="1">
      <c r="B468" s="1273"/>
      <c r="C468" s="1273"/>
      <c r="D468" s="762" t="s">
        <v>1508</v>
      </c>
      <c r="E468" s="762" t="s">
        <v>1451</v>
      </c>
      <c r="F468" s="770" t="s">
        <v>1452</v>
      </c>
      <c r="G468" s="713">
        <v>1200000</v>
      </c>
    </row>
    <row r="469" spans="2:7" ht="15" customHeight="1">
      <c r="B469" s="1273"/>
      <c r="C469" s="1273"/>
      <c r="D469" s="794" t="s">
        <v>1509</v>
      </c>
      <c r="E469" s="795" t="s">
        <v>1451</v>
      </c>
      <c r="F469" s="796" t="s">
        <v>866</v>
      </c>
      <c r="G469" s="871">
        <v>2000000</v>
      </c>
    </row>
    <row r="470" spans="2:7" ht="15" customHeight="1">
      <c r="B470" s="1273"/>
      <c r="C470" s="1273"/>
      <c r="D470" s="798" t="s">
        <v>2122</v>
      </c>
      <c r="E470" s="799" t="s">
        <v>1465</v>
      </c>
      <c r="F470" s="799" t="s">
        <v>264</v>
      </c>
      <c r="G470" s="957">
        <v>5000000</v>
      </c>
    </row>
    <row r="471" spans="2:7" ht="15" customHeight="1">
      <c r="B471" s="1273"/>
      <c r="C471" s="1273"/>
      <c r="D471" s="800" t="s">
        <v>1510</v>
      </c>
      <c r="E471" s="795" t="s">
        <v>1475</v>
      </c>
      <c r="F471" s="796" t="s">
        <v>1511</v>
      </c>
      <c r="G471" s="871">
        <v>1500000</v>
      </c>
    </row>
    <row r="472" spans="2:7" ht="15" customHeight="1">
      <c r="B472" s="1273"/>
      <c r="C472" s="1273"/>
      <c r="D472" s="800" t="s">
        <v>1512</v>
      </c>
      <c r="E472" s="795" t="s">
        <v>1475</v>
      </c>
      <c r="F472" s="796" t="s">
        <v>1513</v>
      </c>
      <c r="G472" s="871">
        <v>4000000</v>
      </c>
    </row>
    <row r="473" spans="2:7" ht="15" customHeight="1">
      <c r="B473" s="1273"/>
      <c r="C473" s="1273"/>
      <c r="D473" s="800" t="s">
        <v>2156</v>
      </c>
      <c r="E473" s="795" t="s">
        <v>1475</v>
      </c>
      <c r="F473" s="796" t="s">
        <v>2157</v>
      </c>
      <c r="G473" s="871">
        <v>3000000</v>
      </c>
    </row>
    <row r="474" spans="2:7" ht="15" customHeight="1">
      <c r="B474" s="1273"/>
      <c r="C474" s="1273"/>
      <c r="D474" s="798" t="s">
        <v>2158</v>
      </c>
      <c r="E474" s="795" t="s">
        <v>1475</v>
      </c>
      <c r="F474" s="796" t="s">
        <v>1515</v>
      </c>
      <c r="G474" s="871">
        <v>5000000</v>
      </c>
    </row>
    <row r="475" spans="2:7" ht="15" customHeight="1">
      <c r="B475" s="1273"/>
      <c r="C475" s="1273"/>
      <c r="D475" s="800" t="s">
        <v>1514</v>
      </c>
      <c r="E475" s="795" t="s">
        <v>1475</v>
      </c>
      <c r="F475" s="796" t="s">
        <v>1515</v>
      </c>
      <c r="G475" s="871">
        <v>3000000</v>
      </c>
    </row>
    <row r="476" spans="2:7" ht="15" customHeight="1">
      <c r="B476" s="1273"/>
      <c r="C476" s="1273"/>
      <c r="D476" s="800" t="s">
        <v>2171</v>
      </c>
      <c r="E476" s="795" t="s">
        <v>1475</v>
      </c>
      <c r="F476" s="796" t="s">
        <v>1516</v>
      </c>
      <c r="G476" s="871">
        <v>5000000</v>
      </c>
    </row>
    <row r="477" spans="2:7" ht="15" customHeight="1">
      <c r="B477" s="1273"/>
      <c r="C477" s="1273"/>
      <c r="D477" s="800" t="s">
        <v>2253</v>
      </c>
      <c r="E477" s="795" t="s">
        <v>1475</v>
      </c>
      <c r="F477" s="796" t="s">
        <v>903</v>
      </c>
      <c r="G477" s="871">
        <v>2000000</v>
      </c>
    </row>
    <row r="478" spans="2:7" ht="15" customHeight="1">
      <c r="B478" s="1273"/>
      <c r="C478" s="1273"/>
      <c r="D478" s="800" t="s">
        <v>1517</v>
      </c>
      <c r="E478" s="795" t="s">
        <v>1475</v>
      </c>
      <c r="F478" s="796" t="s">
        <v>1468</v>
      </c>
      <c r="G478" s="871">
        <v>1000000</v>
      </c>
    </row>
    <row r="479" spans="2:7" ht="15.75">
      <c r="B479" s="1273"/>
      <c r="C479" s="1273"/>
      <c r="D479" s="800" t="s">
        <v>1518</v>
      </c>
      <c r="E479" s="795" t="s">
        <v>1475</v>
      </c>
      <c r="F479" s="796" t="s">
        <v>1519</v>
      </c>
      <c r="G479" s="871">
        <v>4000000</v>
      </c>
    </row>
    <row r="480" spans="2:7" ht="15" customHeight="1">
      <c r="B480" s="1273"/>
      <c r="C480" s="1273"/>
      <c r="D480" s="800" t="s">
        <v>1520</v>
      </c>
      <c r="E480" s="795" t="s">
        <v>1475</v>
      </c>
      <c r="F480" s="796" t="s">
        <v>1515</v>
      </c>
      <c r="G480" s="871">
        <v>1000000</v>
      </c>
    </row>
    <row r="481" spans="2:7" ht="15" customHeight="1">
      <c r="B481" s="1273"/>
      <c r="C481" s="1273"/>
      <c r="D481" s="800" t="s">
        <v>2121</v>
      </c>
      <c r="E481" s="795" t="s">
        <v>1475</v>
      </c>
      <c r="F481" s="796" t="s">
        <v>1515</v>
      </c>
      <c r="G481" s="871">
        <v>2000000</v>
      </c>
    </row>
    <row r="482" spans="2:7" ht="15" customHeight="1">
      <c r="B482" s="1273"/>
      <c r="C482" s="1273"/>
      <c r="D482" s="801" t="s">
        <v>1521</v>
      </c>
      <c r="E482" s="757" t="s">
        <v>1475</v>
      </c>
      <c r="F482" s="802" t="s">
        <v>1522</v>
      </c>
      <c r="G482" s="902">
        <v>5000000</v>
      </c>
    </row>
    <row r="483" spans="2:7" ht="15" customHeight="1">
      <c r="B483" s="1273"/>
      <c r="C483" s="1273"/>
      <c r="D483" s="801" t="s">
        <v>2172</v>
      </c>
      <c r="E483" s="757" t="s">
        <v>194</v>
      </c>
      <c r="F483" s="802" t="s">
        <v>1455</v>
      </c>
      <c r="G483" s="902">
        <v>5000000</v>
      </c>
    </row>
    <row r="484" spans="2:7" ht="15" customHeight="1">
      <c r="B484" s="1273"/>
      <c r="C484" s="1273"/>
      <c r="D484" s="754" t="s">
        <v>1523</v>
      </c>
      <c r="E484" s="754" t="s">
        <v>194</v>
      </c>
      <c r="F484" s="755" t="s">
        <v>1524</v>
      </c>
      <c r="G484" s="756">
        <v>6500000</v>
      </c>
    </row>
    <row r="485" spans="2:9" s="1046" customFormat="1" ht="15" customHeight="1">
      <c r="B485" s="1273"/>
      <c r="C485" s="1273"/>
      <c r="D485" s="1086" t="s">
        <v>2278</v>
      </c>
      <c r="E485" s="1086" t="s">
        <v>194</v>
      </c>
      <c r="F485" s="1087" t="s">
        <v>516</v>
      </c>
      <c r="G485" s="1088">
        <v>5000000</v>
      </c>
      <c r="I485" s="1048"/>
    </row>
    <row r="486" spans="2:7" ht="20.25" customHeight="1">
      <c r="B486" s="1273"/>
      <c r="C486" s="1273"/>
      <c r="D486" s="763" t="s">
        <v>1526</v>
      </c>
      <c r="E486" s="763" t="s">
        <v>194</v>
      </c>
      <c r="F486" s="763" t="s">
        <v>194</v>
      </c>
      <c r="G486" s="803">
        <v>3500000</v>
      </c>
    </row>
    <row r="487" spans="2:9" s="1046" customFormat="1" ht="15" customHeight="1">
      <c r="B487" s="1273"/>
      <c r="C487" s="1273"/>
      <c r="D487" s="1074" t="s">
        <v>2265</v>
      </c>
      <c r="E487" s="1085" t="s">
        <v>194</v>
      </c>
      <c r="F487" s="1085" t="s">
        <v>1525</v>
      </c>
      <c r="G487" s="1089">
        <v>2000000</v>
      </c>
      <c r="I487" s="1048"/>
    </row>
    <row r="488" spans="2:7" ht="15" customHeight="1">
      <c r="B488" s="1273"/>
      <c r="C488" s="1273"/>
      <c r="D488" s="449" t="s">
        <v>1994</v>
      </c>
      <c r="E488" s="449" t="s">
        <v>194</v>
      </c>
      <c r="F488" s="804" t="s">
        <v>194</v>
      </c>
      <c r="G488" s="451">
        <v>4000000</v>
      </c>
    </row>
    <row r="489" spans="2:7" ht="15" customHeight="1">
      <c r="B489" s="1273"/>
      <c r="C489" s="1273"/>
      <c r="D489" s="442" t="s">
        <v>1527</v>
      </c>
      <c r="E489" s="442" t="s">
        <v>538</v>
      </c>
      <c r="F489" s="442" t="s">
        <v>538</v>
      </c>
      <c r="G489" s="443">
        <v>1000000</v>
      </c>
    </row>
    <row r="490" spans="2:9" s="1046" customFormat="1" ht="15" customHeight="1">
      <c r="B490" s="1273"/>
      <c r="C490" s="1273"/>
      <c r="D490" s="1057" t="s">
        <v>2281</v>
      </c>
      <c r="E490" s="1057" t="s">
        <v>538</v>
      </c>
      <c r="F490" s="1057" t="s">
        <v>1434</v>
      </c>
      <c r="G490" s="1059">
        <v>2000000</v>
      </c>
      <c r="I490" s="1048"/>
    </row>
    <row r="491" spans="2:7" ht="15" customHeight="1">
      <c r="B491" s="1273"/>
      <c r="C491" s="1273"/>
      <c r="D491" s="793" t="s">
        <v>1528</v>
      </c>
      <c r="E491" s="762" t="s">
        <v>538</v>
      </c>
      <c r="F491" s="762" t="s">
        <v>359</v>
      </c>
      <c r="G491" s="805">
        <v>4000000</v>
      </c>
    </row>
    <row r="492" spans="2:7" ht="15" customHeight="1">
      <c r="B492" s="1273"/>
      <c r="C492" s="1273"/>
      <c r="D492" s="762" t="s">
        <v>1529</v>
      </c>
      <c r="E492" s="762" t="s">
        <v>159</v>
      </c>
      <c r="F492" s="762" t="s">
        <v>162</v>
      </c>
      <c r="G492" s="805">
        <v>4000000</v>
      </c>
    </row>
    <row r="493" spans="2:7" ht="31.5">
      <c r="B493" s="1273"/>
      <c r="C493" s="1273"/>
      <c r="D493" s="793" t="s">
        <v>1937</v>
      </c>
      <c r="E493" s="762" t="s">
        <v>538</v>
      </c>
      <c r="F493" s="758" t="s">
        <v>546</v>
      </c>
      <c r="G493" s="805">
        <v>5400000</v>
      </c>
    </row>
    <row r="494" spans="2:7" ht="15" customHeight="1">
      <c r="B494" s="1273"/>
      <c r="C494" s="1273"/>
      <c r="D494" s="449" t="s">
        <v>1935</v>
      </c>
      <c r="E494" s="449" t="s">
        <v>567</v>
      </c>
      <c r="F494" s="449" t="s">
        <v>289</v>
      </c>
      <c r="G494" s="443">
        <v>4000000</v>
      </c>
    </row>
    <row r="495" spans="2:7" ht="15" customHeight="1">
      <c r="B495" s="1273"/>
      <c r="C495" s="1273"/>
      <c r="D495" s="449" t="s">
        <v>1936</v>
      </c>
      <c r="E495" s="442" t="s">
        <v>567</v>
      </c>
      <c r="F495" s="442" t="s">
        <v>1530</v>
      </c>
      <c r="G495" s="443">
        <v>3500000</v>
      </c>
    </row>
    <row r="496" spans="2:7" ht="15" customHeight="1">
      <c r="B496" s="1273"/>
      <c r="C496" s="1273"/>
      <c r="D496" s="442" t="s">
        <v>1995</v>
      </c>
      <c r="E496" s="442" t="s">
        <v>567</v>
      </c>
      <c r="F496" s="442" t="s">
        <v>1531</v>
      </c>
      <c r="G496" s="443">
        <v>2500000</v>
      </c>
    </row>
    <row r="497" spans="2:7" ht="15" customHeight="1">
      <c r="B497" s="1273"/>
      <c r="C497" s="1273"/>
      <c r="D497" s="449" t="s">
        <v>1532</v>
      </c>
      <c r="E497" s="449" t="s">
        <v>567</v>
      </c>
      <c r="F497" s="449" t="s">
        <v>575</v>
      </c>
      <c r="G497" s="443">
        <v>2000000</v>
      </c>
    </row>
    <row r="498" spans="2:7" ht="15" customHeight="1">
      <c r="B498" s="1273"/>
      <c r="C498" s="1273"/>
      <c r="D498" s="442" t="s">
        <v>1533</v>
      </c>
      <c r="E498" s="442" t="s">
        <v>567</v>
      </c>
      <c r="F498" s="442" t="s">
        <v>571</v>
      </c>
      <c r="G498" s="443">
        <v>2500000</v>
      </c>
    </row>
    <row r="499" spans="2:7" ht="15" customHeight="1">
      <c r="B499" s="1273"/>
      <c r="C499" s="1273"/>
      <c r="D499" s="442" t="s">
        <v>1534</v>
      </c>
      <c r="E499" s="442" t="s">
        <v>567</v>
      </c>
      <c r="F499" s="442" t="s">
        <v>1497</v>
      </c>
      <c r="G499" s="443">
        <v>500000</v>
      </c>
    </row>
    <row r="500" spans="2:7" ht="15" customHeight="1">
      <c r="B500" s="1273"/>
      <c r="C500" s="1273"/>
      <c r="D500" s="449" t="s">
        <v>1985</v>
      </c>
      <c r="E500" s="449" t="s">
        <v>567</v>
      </c>
      <c r="F500" s="449" t="s">
        <v>1498</v>
      </c>
      <c r="G500" s="443">
        <v>500000</v>
      </c>
    </row>
    <row r="501" spans="2:7" ht="15" customHeight="1">
      <c r="B501" s="1273"/>
      <c r="C501" s="1273"/>
      <c r="D501" s="442" t="s">
        <v>1535</v>
      </c>
      <c r="E501" s="442" t="s">
        <v>567</v>
      </c>
      <c r="F501" s="442" t="s">
        <v>1536</v>
      </c>
      <c r="G501" s="443">
        <v>1000000</v>
      </c>
    </row>
    <row r="502" spans="2:7" ht="15" customHeight="1" thickBot="1">
      <c r="B502" s="1274"/>
      <c r="C502" s="1274"/>
      <c r="D502" s="442"/>
      <c r="E502" s="438"/>
      <c r="F502" s="442"/>
      <c r="G502" s="443"/>
    </row>
    <row r="503" spans="2:7" ht="15" customHeight="1" thickBot="1">
      <c r="B503" s="683"/>
      <c r="C503" s="683"/>
      <c r="D503" s="446" t="s">
        <v>9</v>
      </c>
      <c r="E503" s="447"/>
      <c r="F503" s="447"/>
      <c r="G503" s="454">
        <f>SUM(G460:G502)</f>
        <v>128200000</v>
      </c>
    </row>
    <row r="504" spans="2:7" ht="15" customHeight="1">
      <c r="B504" s="1276">
        <v>2</v>
      </c>
      <c r="C504" s="1278" t="s">
        <v>964</v>
      </c>
      <c r="D504" s="816" t="s">
        <v>1566</v>
      </c>
      <c r="E504" s="761" t="s">
        <v>344</v>
      </c>
      <c r="F504" s="761" t="s">
        <v>1567</v>
      </c>
      <c r="G504" s="809">
        <v>5000000</v>
      </c>
    </row>
    <row r="505" spans="2:7" ht="15" customHeight="1">
      <c r="B505" s="1277"/>
      <c r="C505" s="1273"/>
      <c r="D505" s="817" t="s">
        <v>1568</v>
      </c>
      <c r="E505" s="818" t="s">
        <v>344</v>
      </c>
      <c r="F505" s="818" t="s">
        <v>1569</v>
      </c>
      <c r="G505" s="809">
        <v>4100000</v>
      </c>
    </row>
    <row r="506" spans="2:7" ht="15" customHeight="1">
      <c r="B506" s="1277"/>
      <c r="C506" s="1273"/>
      <c r="D506" s="819" t="s">
        <v>1570</v>
      </c>
      <c r="E506" s="820" t="s">
        <v>344</v>
      </c>
      <c r="F506" s="820" t="s">
        <v>1550</v>
      </c>
      <c r="G506" s="807">
        <v>4000000</v>
      </c>
    </row>
    <row r="507" spans="2:7" ht="15" customHeight="1">
      <c r="B507" s="1277"/>
      <c r="C507" s="1273"/>
      <c r="D507" s="819" t="s">
        <v>1571</v>
      </c>
      <c r="E507" s="820" t="s">
        <v>344</v>
      </c>
      <c r="F507" s="820" t="s">
        <v>1550</v>
      </c>
      <c r="G507" s="821">
        <v>2750000</v>
      </c>
    </row>
    <row r="508" spans="2:7" ht="15" customHeight="1">
      <c r="B508" s="1277"/>
      <c r="C508" s="1273"/>
      <c r="D508" s="768" t="s">
        <v>1582</v>
      </c>
      <c r="E508" s="757" t="s">
        <v>388</v>
      </c>
      <c r="F508" s="797" t="s">
        <v>1583</v>
      </c>
      <c r="G508" s="825">
        <v>3300000</v>
      </c>
    </row>
    <row r="509" spans="2:7" ht="15" customHeight="1">
      <c r="B509" s="1277"/>
      <c r="C509" s="1273"/>
      <c r="D509" s="768" t="s">
        <v>2125</v>
      </c>
      <c r="E509" s="757" t="s">
        <v>388</v>
      </c>
      <c r="F509" s="797" t="s">
        <v>2126</v>
      </c>
      <c r="G509" s="825">
        <v>5000000</v>
      </c>
    </row>
    <row r="510" spans="2:7" ht="15" customHeight="1">
      <c r="B510" s="1277"/>
      <c r="C510" s="1273"/>
      <c r="D510" s="768" t="s">
        <v>1584</v>
      </c>
      <c r="E510" s="757" t="s">
        <v>388</v>
      </c>
      <c r="F510" s="797" t="s">
        <v>392</v>
      </c>
      <c r="G510" s="825">
        <v>3500000</v>
      </c>
    </row>
    <row r="511" spans="2:7" ht="15" customHeight="1">
      <c r="B511" s="1277"/>
      <c r="C511" s="1273"/>
      <c r="D511" s="768" t="s">
        <v>1585</v>
      </c>
      <c r="E511" s="757" t="s">
        <v>388</v>
      </c>
      <c r="F511" s="797" t="s">
        <v>392</v>
      </c>
      <c r="G511" s="825">
        <v>3500000</v>
      </c>
    </row>
    <row r="512" spans="2:7" ht="15" customHeight="1">
      <c r="B512" s="1277"/>
      <c r="C512" s="1273"/>
      <c r="D512" s="768" t="s">
        <v>1586</v>
      </c>
      <c r="E512" s="757" t="s">
        <v>388</v>
      </c>
      <c r="F512" s="797" t="s">
        <v>1581</v>
      </c>
      <c r="G512" s="825">
        <v>3000000</v>
      </c>
    </row>
    <row r="513" spans="2:7" ht="15" customHeight="1">
      <c r="B513" s="1277"/>
      <c r="C513" s="1273"/>
      <c r="D513" s="768" t="s">
        <v>1587</v>
      </c>
      <c r="E513" s="757" t="s">
        <v>388</v>
      </c>
      <c r="F513" s="797" t="s">
        <v>1588</v>
      </c>
      <c r="G513" s="825">
        <v>7500000</v>
      </c>
    </row>
    <row r="514" spans="2:7" ht="15" customHeight="1">
      <c r="B514" s="1277"/>
      <c r="C514" s="1273"/>
      <c r="D514" s="831" t="s">
        <v>1610</v>
      </c>
      <c r="E514" s="761" t="s">
        <v>363</v>
      </c>
      <c r="F514" s="761" t="s">
        <v>379</v>
      </c>
      <c r="G514" s="809">
        <v>4000000</v>
      </c>
    </row>
    <row r="515" spans="2:7" ht="15" customHeight="1">
      <c r="B515" s="1277"/>
      <c r="C515" s="1273"/>
      <c r="D515" s="731" t="s">
        <v>1611</v>
      </c>
      <c r="E515" s="761" t="s">
        <v>363</v>
      </c>
      <c r="F515" s="693" t="s">
        <v>1612</v>
      </c>
      <c r="G515" s="832">
        <v>3000000</v>
      </c>
    </row>
    <row r="516" spans="2:7" ht="15.75">
      <c r="B516" s="1277"/>
      <c r="C516" s="1273"/>
      <c r="D516" s="831" t="s">
        <v>1613</v>
      </c>
      <c r="E516" s="831" t="s">
        <v>363</v>
      </c>
      <c r="F516" s="818" t="s">
        <v>381</v>
      </c>
      <c r="G516" s="807">
        <v>3000000</v>
      </c>
    </row>
    <row r="517" spans="2:7" ht="15" customHeight="1">
      <c r="B517" s="1277"/>
      <c r="C517" s="1273"/>
      <c r="D517" s="789" t="s">
        <v>1614</v>
      </c>
      <c r="E517" s="833" t="s">
        <v>363</v>
      </c>
      <c r="F517" s="834" t="s">
        <v>1615</v>
      </c>
      <c r="G517" s="872">
        <v>2500000</v>
      </c>
    </row>
    <row r="518" spans="2:7" ht="15" customHeight="1">
      <c r="B518" s="1277"/>
      <c r="C518" s="1273"/>
      <c r="D518" s="835" t="s">
        <v>1616</v>
      </c>
      <c r="E518" s="836" t="s">
        <v>363</v>
      </c>
      <c r="F518" s="837" t="s">
        <v>1617</v>
      </c>
      <c r="G518" s="873">
        <v>1500000</v>
      </c>
    </row>
    <row r="519" spans="2:7" ht="15" customHeight="1">
      <c r="B519" s="1277"/>
      <c r="C519" s="1273"/>
      <c r="D519" s="838" t="s">
        <v>2129</v>
      </c>
      <c r="E519" s="796" t="s">
        <v>363</v>
      </c>
      <c r="F519" s="836" t="s">
        <v>2127</v>
      </c>
      <c r="G519" s="874">
        <v>6000000</v>
      </c>
    </row>
    <row r="520" spans="2:7" ht="15" customHeight="1">
      <c r="B520" s="1277"/>
      <c r="C520" s="1273"/>
      <c r="D520" s="834" t="s">
        <v>2128</v>
      </c>
      <c r="E520" s="834" t="s">
        <v>363</v>
      </c>
      <c r="F520" s="834" t="s">
        <v>1612</v>
      </c>
      <c r="G520" s="872">
        <v>2500000</v>
      </c>
    </row>
    <row r="521" spans="2:7" ht="15" customHeight="1">
      <c r="B521" s="1277"/>
      <c r="C521" s="1273"/>
      <c r="D521" s="759" t="s">
        <v>1618</v>
      </c>
      <c r="E521" s="760" t="s">
        <v>363</v>
      </c>
      <c r="F521" s="760" t="s">
        <v>1619</v>
      </c>
      <c r="G521" s="872">
        <v>800000</v>
      </c>
    </row>
    <row r="522" spans="2:7" ht="15" customHeight="1">
      <c r="B522" s="1277"/>
      <c r="C522" s="1273"/>
      <c r="D522" s="759" t="s">
        <v>1620</v>
      </c>
      <c r="E522" s="760" t="s">
        <v>363</v>
      </c>
      <c r="F522" s="760" t="s">
        <v>1621</v>
      </c>
      <c r="G522" s="872">
        <v>1000000</v>
      </c>
    </row>
    <row r="523" spans="2:7" ht="15" customHeight="1">
      <c r="B523" s="1277"/>
      <c r="C523" s="1273"/>
      <c r="D523" s="760" t="s">
        <v>1622</v>
      </c>
      <c r="E523" s="760" t="s">
        <v>363</v>
      </c>
      <c r="F523" s="760" t="s">
        <v>373</v>
      </c>
      <c r="G523" s="872">
        <v>2000000</v>
      </c>
    </row>
    <row r="524" spans="2:7" ht="15" customHeight="1">
      <c r="B524" s="1277"/>
      <c r="C524" s="1273"/>
      <c r="D524" s="834" t="s">
        <v>1623</v>
      </c>
      <c r="E524" s="834" t="s">
        <v>363</v>
      </c>
      <c r="F524" s="834" t="s">
        <v>368</v>
      </c>
      <c r="G524" s="872">
        <v>4000000</v>
      </c>
    </row>
    <row r="525" spans="2:7" ht="15" customHeight="1">
      <c r="B525" s="1277"/>
      <c r="C525" s="1273"/>
      <c r="D525" s="759" t="s">
        <v>1624</v>
      </c>
      <c r="E525" s="760" t="s">
        <v>363</v>
      </c>
      <c r="F525" s="760" t="s">
        <v>1625</v>
      </c>
      <c r="G525" s="872">
        <v>4000000</v>
      </c>
    </row>
    <row r="526" spans="2:7" ht="15" customHeight="1">
      <c r="B526" s="1277"/>
      <c r="C526" s="1273"/>
      <c r="D526" s="768" t="s">
        <v>1636</v>
      </c>
      <c r="E526" s="757" t="s">
        <v>336</v>
      </c>
      <c r="F526" s="802" t="s">
        <v>360</v>
      </c>
      <c r="G526" s="841">
        <v>2000000</v>
      </c>
    </row>
    <row r="527" spans="2:7" ht="15" customHeight="1">
      <c r="B527" s="1277"/>
      <c r="C527" s="1273"/>
      <c r="D527" s="711" t="s">
        <v>1637</v>
      </c>
      <c r="E527" s="711" t="s">
        <v>336</v>
      </c>
      <c r="F527" s="714" t="s">
        <v>359</v>
      </c>
      <c r="G527" s="779">
        <v>3000000</v>
      </c>
    </row>
    <row r="528" spans="2:7" ht="15" customHeight="1">
      <c r="B528" s="1277"/>
      <c r="C528" s="1273"/>
      <c r="D528" s="731" t="s">
        <v>2168</v>
      </c>
      <c r="E528" s="731" t="s">
        <v>464</v>
      </c>
      <c r="F528" s="693" t="s">
        <v>2169</v>
      </c>
      <c r="G528" s="832">
        <v>2500000</v>
      </c>
    </row>
    <row r="529" spans="2:7" ht="15" customHeight="1">
      <c r="B529" s="1277"/>
      <c r="C529" s="1273"/>
      <c r="D529" s="776" t="s">
        <v>1644</v>
      </c>
      <c r="E529" s="776" t="s">
        <v>464</v>
      </c>
      <c r="F529" s="776" t="s">
        <v>467</v>
      </c>
      <c r="G529" s="777">
        <v>4000000</v>
      </c>
    </row>
    <row r="530" spans="2:7" ht="15" customHeight="1">
      <c r="B530" s="1277"/>
      <c r="C530" s="1273"/>
      <c r="D530" s="776" t="s">
        <v>1645</v>
      </c>
      <c r="E530" s="776" t="s">
        <v>464</v>
      </c>
      <c r="F530" s="776" t="s">
        <v>477</v>
      </c>
      <c r="G530" s="777">
        <v>2200000</v>
      </c>
    </row>
    <row r="531" spans="2:9" s="1046" customFormat="1" ht="15" customHeight="1">
      <c r="B531" s="1277"/>
      <c r="C531" s="1273"/>
      <c r="D531" s="1070" t="s">
        <v>2289</v>
      </c>
      <c r="E531" s="1070" t="s">
        <v>464</v>
      </c>
      <c r="F531" s="1070" t="s">
        <v>468</v>
      </c>
      <c r="G531" s="1071">
        <v>2500000</v>
      </c>
      <c r="I531" s="1048"/>
    </row>
    <row r="532" spans="2:7" ht="15" customHeight="1">
      <c r="B532" s="1277"/>
      <c r="C532" s="1273"/>
      <c r="D532" s="776" t="s">
        <v>1646</v>
      </c>
      <c r="E532" s="776" t="s">
        <v>464</v>
      </c>
      <c r="F532" s="776" t="s">
        <v>2288</v>
      </c>
      <c r="G532" s="777">
        <v>2500000</v>
      </c>
    </row>
    <row r="533" spans="2:9" s="1046" customFormat="1" ht="15" customHeight="1">
      <c r="B533" s="1277"/>
      <c r="C533" s="1273"/>
      <c r="D533" s="1070" t="s">
        <v>1647</v>
      </c>
      <c r="E533" s="1070" t="s">
        <v>464</v>
      </c>
      <c r="F533" s="1070" t="s">
        <v>1648</v>
      </c>
      <c r="G533" s="1071">
        <v>7000000</v>
      </c>
      <c r="I533" s="1048"/>
    </row>
    <row r="534" spans="2:7" ht="15" customHeight="1">
      <c r="B534" s="1277"/>
      <c r="C534" s="1273"/>
      <c r="D534" s="834" t="s">
        <v>1649</v>
      </c>
      <c r="E534" s="834" t="s">
        <v>464</v>
      </c>
      <c r="F534" s="834" t="s">
        <v>463</v>
      </c>
      <c r="G534" s="872">
        <v>3000000</v>
      </c>
    </row>
    <row r="535" spans="2:7" ht="15" customHeight="1">
      <c r="B535" s="1277"/>
      <c r="C535" s="1273"/>
      <c r="D535" s="759" t="s">
        <v>1662</v>
      </c>
      <c r="E535" s="760" t="s">
        <v>442</v>
      </c>
      <c r="F535" s="760" t="s">
        <v>1438</v>
      </c>
      <c r="G535" s="872">
        <v>2500000</v>
      </c>
    </row>
    <row r="536" spans="2:9" s="1046" customFormat="1" ht="15" customHeight="1">
      <c r="B536" s="1277"/>
      <c r="C536" s="1273"/>
      <c r="D536" s="1074" t="s">
        <v>2287</v>
      </c>
      <c r="E536" s="1085" t="s">
        <v>442</v>
      </c>
      <c r="F536" s="1085" t="s">
        <v>1440</v>
      </c>
      <c r="G536" s="1071">
        <v>5000000</v>
      </c>
      <c r="I536" s="1048"/>
    </row>
    <row r="537" spans="2:7" ht="15" customHeight="1">
      <c r="B537" s="1277"/>
      <c r="C537" s="1273"/>
      <c r="D537" s="768" t="s">
        <v>1663</v>
      </c>
      <c r="E537" s="757" t="s">
        <v>442</v>
      </c>
      <c r="F537" s="802" t="s">
        <v>446</v>
      </c>
      <c r="G537" s="841">
        <v>1000000</v>
      </c>
    </row>
    <row r="538" spans="2:7" ht="15" customHeight="1">
      <c r="B538" s="1277"/>
      <c r="C538" s="1273"/>
      <c r="D538" s="768" t="s">
        <v>2137</v>
      </c>
      <c r="E538" s="757" t="s">
        <v>442</v>
      </c>
      <c r="F538" s="802" t="s">
        <v>446</v>
      </c>
      <c r="G538" s="841">
        <v>3000000</v>
      </c>
    </row>
    <row r="539" spans="2:7" ht="15" customHeight="1">
      <c r="B539" s="1277"/>
      <c r="C539" s="1273"/>
      <c r="D539" s="768" t="s">
        <v>2161</v>
      </c>
      <c r="E539" s="757" t="s">
        <v>427</v>
      </c>
      <c r="F539" s="802" t="s">
        <v>1672</v>
      </c>
      <c r="G539" s="841">
        <v>3000000</v>
      </c>
    </row>
    <row r="540" spans="2:7" ht="15" customHeight="1">
      <c r="B540" s="1277"/>
      <c r="C540" s="1273"/>
      <c r="D540" s="768" t="s">
        <v>2162</v>
      </c>
      <c r="E540" s="757" t="s">
        <v>427</v>
      </c>
      <c r="F540" s="802" t="s">
        <v>2165</v>
      </c>
      <c r="G540" s="841">
        <v>3000000</v>
      </c>
    </row>
    <row r="541" spans="2:7" ht="15" customHeight="1">
      <c r="B541" s="1277"/>
      <c r="C541" s="1273"/>
      <c r="D541" s="768" t="s">
        <v>2164</v>
      </c>
      <c r="E541" s="757" t="s">
        <v>427</v>
      </c>
      <c r="F541" s="802" t="s">
        <v>2163</v>
      </c>
      <c r="G541" s="841">
        <v>3000000</v>
      </c>
    </row>
    <row r="542" spans="2:7" ht="15" customHeight="1">
      <c r="B542" s="1277"/>
      <c r="C542" s="1273"/>
      <c r="D542" s="768" t="s">
        <v>2159</v>
      </c>
      <c r="E542" s="757" t="s">
        <v>427</v>
      </c>
      <c r="F542" s="802" t="s">
        <v>2077</v>
      </c>
      <c r="G542" s="841">
        <v>3000000</v>
      </c>
    </row>
    <row r="543" spans="2:7" ht="15" customHeight="1">
      <c r="B543" s="1277"/>
      <c r="C543" s="1273"/>
      <c r="D543" s="760" t="s">
        <v>2130</v>
      </c>
      <c r="E543" s="760" t="s">
        <v>427</v>
      </c>
      <c r="F543" s="760" t="s">
        <v>429</v>
      </c>
      <c r="G543" s="872">
        <v>5000000</v>
      </c>
    </row>
    <row r="544" spans="2:7" ht="15" customHeight="1">
      <c r="B544" s="1277"/>
      <c r="C544" s="1273"/>
      <c r="D544" s="834" t="s">
        <v>2131</v>
      </c>
      <c r="E544" s="834" t="s">
        <v>427</v>
      </c>
      <c r="F544" s="834" t="s">
        <v>429</v>
      </c>
      <c r="G544" s="872">
        <v>5000000</v>
      </c>
    </row>
    <row r="545" spans="2:7" ht="15" customHeight="1">
      <c r="B545" s="1277"/>
      <c r="C545" s="1273"/>
      <c r="D545" s="834" t="s">
        <v>2132</v>
      </c>
      <c r="E545" s="834" t="s">
        <v>427</v>
      </c>
      <c r="F545" s="834" t="s">
        <v>429</v>
      </c>
      <c r="G545" s="872">
        <v>3000000</v>
      </c>
    </row>
    <row r="546" spans="2:7" ht="15" customHeight="1">
      <c r="B546" s="1277"/>
      <c r="C546" s="1273"/>
      <c r="D546" s="759" t="s">
        <v>1671</v>
      </c>
      <c r="E546" s="760" t="s">
        <v>427</v>
      </c>
      <c r="F546" s="760" t="s">
        <v>1672</v>
      </c>
      <c r="G546" s="872">
        <v>1500000</v>
      </c>
    </row>
    <row r="547" spans="2:7" ht="15" customHeight="1">
      <c r="B547" s="1277"/>
      <c r="C547" s="1273"/>
      <c r="D547" s="768" t="s">
        <v>1673</v>
      </c>
      <c r="E547" s="757" t="s">
        <v>427</v>
      </c>
      <c r="F547" s="802" t="s">
        <v>1674</v>
      </c>
      <c r="G547" s="841">
        <v>2000000</v>
      </c>
    </row>
    <row r="548" spans="2:7" ht="15" customHeight="1">
      <c r="B548" s="1277"/>
      <c r="C548" s="1273"/>
      <c r="D548" s="711" t="s">
        <v>1675</v>
      </c>
      <c r="E548" s="711" t="s">
        <v>427</v>
      </c>
      <c r="F548" s="714" t="s">
        <v>1676</v>
      </c>
      <c r="G548" s="779">
        <v>2000000</v>
      </c>
    </row>
    <row r="549" spans="2:7" ht="15" customHeight="1">
      <c r="B549" s="1277"/>
      <c r="C549" s="1273"/>
      <c r="D549" s="776" t="s">
        <v>1677</v>
      </c>
      <c r="E549" s="776" t="s">
        <v>427</v>
      </c>
      <c r="F549" s="776" t="s">
        <v>1678</v>
      </c>
      <c r="G549" s="777">
        <v>1500000</v>
      </c>
    </row>
    <row r="550" spans="2:7" ht="15" customHeight="1">
      <c r="B550" s="1277"/>
      <c r="C550" s="1273"/>
      <c r="D550" s="776" t="s">
        <v>2133</v>
      </c>
      <c r="E550" s="776" t="s">
        <v>427</v>
      </c>
      <c r="F550" s="776" t="s">
        <v>1669</v>
      </c>
      <c r="G550" s="777">
        <v>5000000</v>
      </c>
    </row>
    <row r="551" spans="2:7" ht="15" customHeight="1">
      <c r="B551" s="1277"/>
      <c r="C551" s="1273"/>
      <c r="D551" s="776" t="s">
        <v>2134</v>
      </c>
      <c r="E551" s="776" t="s">
        <v>427</v>
      </c>
      <c r="F551" s="776" t="s">
        <v>2135</v>
      </c>
      <c r="G551" s="777">
        <v>5000000</v>
      </c>
    </row>
    <row r="552" spans="2:7" ht="15" customHeight="1">
      <c r="B552" s="1277"/>
      <c r="C552" s="1273"/>
      <c r="D552" s="776" t="s">
        <v>2136</v>
      </c>
      <c r="E552" s="776" t="s">
        <v>427</v>
      </c>
      <c r="F552" s="776" t="s">
        <v>2135</v>
      </c>
      <c r="G552" s="777">
        <v>5000000</v>
      </c>
    </row>
    <row r="553" spans="2:7" ht="15" customHeight="1" thickBot="1">
      <c r="B553" s="1277"/>
      <c r="C553" s="1273"/>
      <c r="D553" s="776" t="s">
        <v>2138</v>
      </c>
      <c r="E553" s="776" t="s">
        <v>427</v>
      </c>
      <c r="F553" s="776" t="s">
        <v>2060</v>
      </c>
      <c r="G553" s="777">
        <v>2000000</v>
      </c>
    </row>
    <row r="554" spans="2:7" ht="15" customHeight="1" thickBot="1">
      <c r="B554" s="683"/>
      <c r="C554" s="683"/>
      <c r="D554" s="446" t="s">
        <v>9</v>
      </c>
      <c r="E554" s="447"/>
      <c r="F554" s="447"/>
      <c r="G554" s="454">
        <f>SUM(G504:G553)</f>
        <v>165150000</v>
      </c>
    </row>
    <row r="555" spans="2:7" ht="31.5">
      <c r="B555" s="1278">
        <v>3</v>
      </c>
      <c r="C555" s="1278" t="s">
        <v>962</v>
      </c>
      <c r="D555" s="845" t="s">
        <v>1682</v>
      </c>
      <c r="E555" s="845" t="s">
        <v>594</v>
      </c>
      <c r="F555" s="845" t="s">
        <v>594</v>
      </c>
      <c r="G555" s="875">
        <v>5000000</v>
      </c>
    </row>
    <row r="556" spans="2:7" ht="18.75" customHeight="1">
      <c r="B556" s="1273"/>
      <c r="C556" s="1273"/>
      <c r="D556" s="845" t="s">
        <v>1683</v>
      </c>
      <c r="E556" s="845" t="s">
        <v>594</v>
      </c>
      <c r="F556" s="845" t="s">
        <v>1684</v>
      </c>
      <c r="G556" s="875">
        <v>4000000</v>
      </c>
    </row>
    <row r="557" spans="2:7" ht="31.5">
      <c r="B557" s="1273"/>
      <c r="C557" s="1273"/>
      <c r="D557" s="845" t="s">
        <v>1685</v>
      </c>
      <c r="E557" s="845" t="s">
        <v>594</v>
      </c>
      <c r="F557" s="845" t="s">
        <v>1686</v>
      </c>
      <c r="G557" s="875">
        <v>2500000</v>
      </c>
    </row>
    <row r="558" spans="2:7" ht="15" customHeight="1">
      <c r="B558" s="1273"/>
      <c r="C558" s="1273"/>
      <c r="D558" s="846" t="s">
        <v>1687</v>
      </c>
      <c r="E558" s="845" t="s">
        <v>594</v>
      </c>
      <c r="F558" s="845" t="s">
        <v>1934</v>
      </c>
      <c r="G558" s="875">
        <v>3000000</v>
      </c>
    </row>
    <row r="559" spans="2:9" s="1046" customFormat="1" ht="31.5">
      <c r="B559" s="1273"/>
      <c r="C559" s="1273"/>
      <c r="D559" s="1076" t="s">
        <v>2282</v>
      </c>
      <c r="E559" s="1076" t="s">
        <v>594</v>
      </c>
      <c r="F559" s="1076" t="s">
        <v>614</v>
      </c>
      <c r="G559" s="1084">
        <v>3000000</v>
      </c>
      <c r="I559" s="1048"/>
    </row>
    <row r="560" spans="2:7" ht="15" customHeight="1">
      <c r="B560" s="1273"/>
      <c r="C560" s="1273"/>
      <c r="D560" s="847" t="s">
        <v>1688</v>
      </c>
      <c r="E560" s="848" t="s">
        <v>594</v>
      </c>
      <c r="F560" s="848" t="s">
        <v>614</v>
      </c>
      <c r="G560" s="875">
        <v>2000000</v>
      </c>
    </row>
    <row r="561" spans="2:7" ht="15" customHeight="1">
      <c r="B561" s="1273"/>
      <c r="C561" s="1273"/>
      <c r="D561" s="847" t="s">
        <v>1689</v>
      </c>
      <c r="E561" s="848" t="s">
        <v>594</v>
      </c>
      <c r="F561" s="848" t="s">
        <v>614</v>
      </c>
      <c r="G561" s="875">
        <v>2000000</v>
      </c>
    </row>
    <row r="562" spans="2:7" ht="15" customHeight="1">
      <c r="B562" s="1273"/>
      <c r="C562" s="1273"/>
      <c r="D562" s="847" t="s">
        <v>1690</v>
      </c>
      <c r="E562" s="848" t="s">
        <v>594</v>
      </c>
      <c r="F562" s="848" t="s">
        <v>627</v>
      </c>
      <c r="G562" s="875">
        <v>1500000</v>
      </c>
    </row>
    <row r="563" spans="2:7" ht="15" customHeight="1">
      <c r="B563" s="1273"/>
      <c r="C563" s="1273"/>
      <c r="D563" s="847" t="s">
        <v>1691</v>
      </c>
      <c r="E563" s="848" t="s">
        <v>594</v>
      </c>
      <c r="F563" s="848" t="s">
        <v>627</v>
      </c>
      <c r="G563" s="875">
        <v>500000</v>
      </c>
    </row>
    <row r="564" spans="2:7" ht="15" customHeight="1">
      <c r="B564" s="1273"/>
      <c r="C564" s="1273"/>
      <c r="D564" s="847" t="s">
        <v>1692</v>
      </c>
      <c r="E564" s="848" t="s">
        <v>594</v>
      </c>
      <c r="F564" s="848" t="s">
        <v>610</v>
      </c>
      <c r="G564" s="875">
        <v>1000000</v>
      </c>
    </row>
    <row r="565" spans="2:9" s="1046" customFormat="1" ht="15.75">
      <c r="B565" s="1273"/>
      <c r="C565" s="1273"/>
      <c r="D565" s="1075" t="s">
        <v>2283</v>
      </c>
      <c r="E565" s="1076" t="s">
        <v>594</v>
      </c>
      <c r="F565" s="1076" t="s">
        <v>2285</v>
      </c>
      <c r="G565" s="1084">
        <v>2000000</v>
      </c>
      <c r="I565" s="1048"/>
    </row>
    <row r="566" spans="2:7" ht="15" customHeight="1">
      <c r="B566" s="1273"/>
      <c r="C566" s="1273"/>
      <c r="D566" s="847" t="s">
        <v>1693</v>
      </c>
      <c r="E566" s="848" t="s">
        <v>594</v>
      </c>
      <c r="F566" s="848" t="s">
        <v>595</v>
      </c>
      <c r="G566" s="875">
        <v>1500000</v>
      </c>
    </row>
    <row r="567" spans="2:7" ht="15" customHeight="1">
      <c r="B567" s="1273"/>
      <c r="C567" s="1273"/>
      <c r="D567" s="847" t="s">
        <v>1694</v>
      </c>
      <c r="E567" s="848" t="s">
        <v>594</v>
      </c>
      <c r="F567" s="848" t="s">
        <v>595</v>
      </c>
      <c r="G567" s="875">
        <v>2000000</v>
      </c>
    </row>
    <row r="568" spans="2:9" s="1046" customFormat="1" ht="15" customHeight="1">
      <c r="B568" s="1273"/>
      <c r="C568" s="1273"/>
      <c r="D568" s="1075" t="s">
        <v>2286</v>
      </c>
      <c r="E568" s="1076" t="s">
        <v>594</v>
      </c>
      <c r="F568" s="1076" t="s">
        <v>2284</v>
      </c>
      <c r="G568" s="1084">
        <v>500000</v>
      </c>
      <c r="I568" s="1048"/>
    </row>
    <row r="569" spans="2:7" ht="15" customHeight="1">
      <c r="B569" s="1273"/>
      <c r="C569" s="1273"/>
      <c r="D569" s="847" t="s">
        <v>1695</v>
      </c>
      <c r="E569" s="848" t="s">
        <v>594</v>
      </c>
      <c r="F569" s="848" t="s">
        <v>1696</v>
      </c>
      <c r="G569" s="875">
        <v>500000</v>
      </c>
    </row>
    <row r="570" spans="2:7" ht="15" customHeight="1">
      <c r="B570" s="1273"/>
      <c r="C570" s="1273"/>
      <c r="D570" s="847" t="s">
        <v>1697</v>
      </c>
      <c r="E570" s="848" t="s">
        <v>594</v>
      </c>
      <c r="F570" s="848" t="s">
        <v>1698</v>
      </c>
      <c r="G570" s="875">
        <v>500000</v>
      </c>
    </row>
    <row r="571" spans="2:7" ht="15" customHeight="1">
      <c r="B571" s="1273"/>
      <c r="C571" s="1273"/>
      <c r="D571" s="847" t="s">
        <v>1699</v>
      </c>
      <c r="E571" s="848" t="s">
        <v>594</v>
      </c>
      <c r="F571" s="848" t="s">
        <v>1700</v>
      </c>
      <c r="G571" s="875">
        <v>2000000</v>
      </c>
    </row>
    <row r="572" spans="2:7" ht="34.5">
      <c r="B572" s="1273"/>
      <c r="C572" s="1273"/>
      <c r="D572" s="854" t="s">
        <v>1713</v>
      </c>
      <c r="E572" s="854" t="s">
        <v>654</v>
      </c>
      <c r="F572" s="854" t="s">
        <v>359</v>
      </c>
      <c r="G572" s="876">
        <v>12000000</v>
      </c>
    </row>
    <row r="573" spans="2:7" ht="34.5">
      <c r="B573" s="1273"/>
      <c r="C573" s="1273"/>
      <c r="D573" s="854" t="s">
        <v>1714</v>
      </c>
      <c r="E573" s="854" t="s">
        <v>654</v>
      </c>
      <c r="F573" s="854" t="s">
        <v>359</v>
      </c>
      <c r="G573" s="876">
        <v>4000000</v>
      </c>
    </row>
    <row r="574" spans="2:7" ht="15" customHeight="1">
      <c r="B574" s="1273"/>
      <c r="C574" s="1273"/>
      <c r="D574" s="854" t="s">
        <v>1716</v>
      </c>
      <c r="E574" s="854" t="s">
        <v>654</v>
      </c>
      <c r="F574" s="854" t="s">
        <v>1715</v>
      </c>
      <c r="G574" s="876">
        <v>4000000</v>
      </c>
    </row>
    <row r="575" spans="2:9" s="1046" customFormat="1" ht="15.75">
      <c r="B575" s="1273"/>
      <c r="C575" s="1273"/>
      <c r="D575" s="1090" t="s">
        <v>2264</v>
      </c>
      <c r="E575" s="1091" t="s">
        <v>682</v>
      </c>
      <c r="F575" s="1091" t="s">
        <v>2277</v>
      </c>
      <c r="G575" s="1047">
        <v>6400000</v>
      </c>
      <c r="I575" s="1048"/>
    </row>
    <row r="576" spans="2:7" ht="31.5">
      <c r="B576" s="1273"/>
      <c r="C576" s="1273"/>
      <c r="D576" s="860" t="s">
        <v>1731</v>
      </c>
      <c r="E576" s="762" t="s">
        <v>682</v>
      </c>
      <c r="F576" s="762" t="s">
        <v>698</v>
      </c>
      <c r="G576" s="877">
        <v>10000000</v>
      </c>
    </row>
    <row r="577" spans="2:7" ht="31.5">
      <c r="B577" s="1273"/>
      <c r="C577" s="1273"/>
      <c r="D577" s="901" t="s">
        <v>1447</v>
      </c>
      <c r="E577" s="789" t="s">
        <v>1448</v>
      </c>
      <c r="F577" s="789" t="s">
        <v>1446</v>
      </c>
      <c r="G577" s="902">
        <v>6000000</v>
      </c>
    </row>
    <row r="578" spans="2:7" ht="15" customHeight="1">
      <c r="B578" s="1273"/>
      <c r="C578" s="1273"/>
      <c r="D578" s="859" t="s">
        <v>1732</v>
      </c>
      <c r="E578" s="762" t="s">
        <v>1733</v>
      </c>
      <c r="F578" s="762" t="s">
        <v>1734</v>
      </c>
      <c r="G578" s="877">
        <v>4000000</v>
      </c>
    </row>
    <row r="579" spans="2:7" ht="15" customHeight="1">
      <c r="B579" s="1273"/>
      <c r="C579" s="1273"/>
      <c r="D579" s="860" t="s">
        <v>1735</v>
      </c>
      <c r="E579" s="762" t="s">
        <v>682</v>
      </c>
      <c r="F579" s="762" t="s">
        <v>1736</v>
      </c>
      <c r="G579" s="877">
        <v>7000000</v>
      </c>
    </row>
    <row r="580" spans="2:7" ht="15" customHeight="1">
      <c r="B580" s="1273"/>
      <c r="C580" s="1273"/>
      <c r="D580" s="860" t="s">
        <v>1737</v>
      </c>
      <c r="E580" s="762" t="s">
        <v>682</v>
      </c>
      <c r="F580" s="762" t="s">
        <v>1738</v>
      </c>
      <c r="G580" s="877">
        <v>2600000</v>
      </c>
    </row>
    <row r="581" spans="2:7" ht="15" customHeight="1">
      <c r="B581" s="1273"/>
      <c r="C581" s="1273"/>
      <c r="D581" s="860" t="s">
        <v>1739</v>
      </c>
      <c r="E581" s="762" t="s">
        <v>682</v>
      </c>
      <c r="F581" s="762" t="s">
        <v>1740</v>
      </c>
      <c r="G581" s="877">
        <v>2500000</v>
      </c>
    </row>
    <row r="582" spans="2:9" s="1046" customFormat="1" ht="15" customHeight="1">
      <c r="B582" s="1273"/>
      <c r="C582" s="1273"/>
      <c r="D582" s="1094" t="s">
        <v>2275</v>
      </c>
      <c r="E582" s="1049" t="s">
        <v>682</v>
      </c>
      <c r="F582" s="1057" t="s">
        <v>2276</v>
      </c>
      <c r="G582" s="1059">
        <v>4000000</v>
      </c>
      <c r="I582" s="1048"/>
    </row>
    <row r="583" spans="2:9" s="746" customFormat="1" ht="15" customHeight="1">
      <c r="B583" s="1273"/>
      <c r="C583" s="1273"/>
      <c r="D583" s="860" t="s">
        <v>1755</v>
      </c>
      <c r="E583" s="762" t="s">
        <v>719</v>
      </c>
      <c r="F583" s="762" t="s">
        <v>1756</v>
      </c>
      <c r="G583" s="877">
        <v>3000000</v>
      </c>
      <c r="I583" s="1012"/>
    </row>
    <row r="584" spans="2:7" ht="31.5">
      <c r="B584" s="1273"/>
      <c r="C584" s="1273"/>
      <c r="D584" s="904" t="s">
        <v>1757</v>
      </c>
      <c r="E584" s="775" t="s">
        <v>719</v>
      </c>
      <c r="F584" s="775" t="s">
        <v>1756</v>
      </c>
      <c r="G584" s="764">
        <v>2500000</v>
      </c>
    </row>
    <row r="585" spans="2:9" s="746" customFormat="1" ht="15" customHeight="1">
      <c r="B585" s="1273"/>
      <c r="C585" s="1273"/>
      <c r="D585" s="864" t="s">
        <v>1758</v>
      </c>
      <c r="E585" s="762" t="s">
        <v>719</v>
      </c>
      <c r="F585" s="762" t="s">
        <v>1756</v>
      </c>
      <c r="G585" s="877">
        <v>2000000</v>
      </c>
      <c r="I585" s="1012"/>
    </row>
    <row r="586" spans="2:9" s="746" customFormat="1" ht="15" customHeight="1">
      <c r="B586" s="1273"/>
      <c r="C586" s="1273"/>
      <c r="D586" s="859" t="s">
        <v>1759</v>
      </c>
      <c r="E586" s="762" t="s">
        <v>719</v>
      </c>
      <c r="F586" s="762" t="s">
        <v>1760</v>
      </c>
      <c r="G586" s="877">
        <v>1200000</v>
      </c>
      <c r="I586" s="1012"/>
    </row>
    <row r="587" spans="2:9" s="746" customFormat="1" ht="15" customHeight="1">
      <c r="B587" s="1273"/>
      <c r="C587" s="1273"/>
      <c r="D587" s="865" t="s">
        <v>1761</v>
      </c>
      <c r="E587" s="762" t="s">
        <v>719</v>
      </c>
      <c r="F587" s="762" t="s">
        <v>720</v>
      </c>
      <c r="G587" s="877">
        <v>2500000</v>
      </c>
      <c r="I587" s="1012"/>
    </row>
    <row r="588" spans="2:9" s="746" customFormat="1" ht="15" customHeight="1">
      <c r="B588" s="1273"/>
      <c r="C588" s="1273"/>
      <c r="D588" s="860" t="s">
        <v>1762</v>
      </c>
      <c r="E588" s="762" t="s">
        <v>719</v>
      </c>
      <c r="F588" s="762" t="s">
        <v>1763</v>
      </c>
      <c r="G588" s="877">
        <v>2000000</v>
      </c>
      <c r="I588" s="1012"/>
    </row>
    <row r="589" spans="2:9" s="746" customFormat="1" ht="15" customHeight="1">
      <c r="B589" s="1273"/>
      <c r="C589" s="1273"/>
      <c r="D589" s="860" t="s">
        <v>2007</v>
      </c>
      <c r="E589" s="762" t="s">
        <v>719</v>
      </c>
      <c r="F589" s="762" t="s">
        <v>1765</v>
      </c>
      <c r="G589" s="877">
        <v>1800000</v>
      </c>
      <c r="I589" s="1012"/>
    </row>
    <row r="590" spans="2:9" s="746" customFormat="1" ht="15" customHeight="1">
      <c r="B590" s="1273"/>
      <c r="C590" s="1273"/>
      <c r="D590" s="864" t="s">
        <v>1758</v>
      </c>
      <c r="E590" s="762" t="s">
        <v>719</v>
      </c>
      <c r="F590" s="762" t="s">
        <v>1764</v>
      </c>
      <c r="G590" s="877">
        <v>2500000</v>
      </c>
      <c r="I590" s="1012"/>
    </row>
    <row r="591" spans="2:9" s="746" customFormat="1" ht="15" customHeight="1">
      <c r="B591" s="1273"/>
      <c r="C591" s="1273"/>
      <c r="D591" s="864" t="s">
        <v>1758</v>
      </c>
      <c r="E591" s="762" t="s">
        <v>719</v>
      </c>
      <c r="F591" s="762" t="s">
        <v>1765</v>
      </c>
      <c r="G591" s="877">
        <v>2500000</v>
      </c>
      <c r="I591" s="1012"/>
    </row>
    <row r="592" spans="2:9" s="746" customFormat="1" ht="15" customHeight="1">
      <c r="B592" s="1273"/>
      <c r="C592" s="1273"/>
      <c r="D592" s="864" t="s">
        <v>1758</v>
      </c>
      <c r="E592" s="762" t="s">
        <v>719</v>
      </c>
      <c r="F592" s="762" t="s">
        <v>731</v>
      </c>
      <c r="G592" s="877">
        <v>2500000</v>
      </c>
      <c r="I592" s="1012"/>
    </row>
    <row r="593" spans="2:9" s="746" customFormat="1" ht="15" customHeight="1">
      <c r="B593" s="1273"/>
      <c r="C593" s="1273"/>
      <c r="D593" s="859" t="s">
        <v>1766</v>
      </c>
      <c r="E593" s="762" t="s">
        <v>719</v>
      </c>
      <c r="F593" s="762" t="s">
        <v>731</v>
      </c>
      <c r="G593" s="877">
        <v>2400000</v>
      </c>
      <c r="I593" s="1012"/>
    </row>
    <row r="594" spans="2:9" s="746" customFormat="1" ht="31.5">
      <c r="B594" s="1273"/>
      <c r="C594" s="1273"/>
      <c r="D594" s="860" t="s">
        <v>1767</v>
      </c>
      <c r="E594" s="762" t="s">
        <v>719</v>
      </c>
      <c r="F594" s="762" t="s">
        <v>1768</v>
      </c>
      <c r="G594" s="877">
        <v>1500000</v>
      </c>
      <c r="I594" s="1012"/>
    </row>
    <row r="595" spans="2:9" s="746" customFormat="1" ht="15" customHeight="1">
      <c r="B595" s="1273"/>
      <c r="C595" s="1273"/>
      <c r="D595" s="793" t="s">
        <v>1797</v>
      </c>
      <c r="E595" s="776" t="s">
        <v>918</v>
      </c>
      <c r="F595" s="776" t="s">
        <v>919</v>
      </c>
      <c r="G595" s="905">
        <v>800000</v>
      </c>
      <c r="I595" s="1012"/>
    </row>
    <row r="596" spans="2:9" s="1046" customFormat="1" ht="31.5">
      <c r="B596" s="1273"/>
      <c r="C596" s="1273"/>
      <c r="D596" s="1079" t="s">
        <v>2293</v>
      </c>
      <c r="E596" s="1070" t="s">
        <v>918</v>
      </c>
      <c r="F596" s="1079" t="s">
        <v>2294</v>
      </c>
      <c r="G596" s="1080">
        <v>5000000</v>
      </c>
      <c r="I596" s="1048"/>
    </row>
    <row r="597" spans="2:9" s="1046" customFormat="1" ht="15" customHeight="1">
      <c r="B597" s="1273"/>
      <c r="C597" s="1273"/>
      <c r="D597" s="1079" t="s">
        <v>2291</v>
      </c>
      <c r="E597" s="1070" t="s">
        <v>918</v>
      </c>
      <c r="F597" s="1070" t="s">
        <v>1798</v>
      </c>
      <c r="G597" s="1080">
        <v>800000</v>
      </c>
      <c r="I597" s="1048"/>
    </row>
    <row r="598" spans="2:9" s="1046" customFormat="1" ht="31.5">
      <c r="B598" s="1273"/>
      <c r="C598" s="1273"/>
      <c r="D598" s="1079" t="s">
        <v>2290</v>
      </c>
      <c r="E598" s="1070" t="s">
        <v>918</v>
      </c>
      <c r="F598" s="1070" t="s">
        <v>1799</v>
      </c>
      <c r="G598" s="1080">
        <v>2400000</v>
      </c>
      <c r="I598" s="1048"/>
    </row>
    <row r="599" spans="2:9" s="746" customFormat="1" ht="15" customHeight="1">
      <c r="B599" s="1273"/>
      <c r="C599" s="1273"/>
      <c r="D599" s="793" t="s">
        <v>1800</v>
      </c>
      <c r="E599" s="776" t="s">
        <v>918</v>
      </c>
      <c r="F599" s="776" t="s">
        <v>1801</v>
      </c>
      <c r="G599" s="905">
        <v>1000000</v>
      </c>
      <c r="I599" s="1012"/>
    </row>
    <row r="600" spans="2:9" s="746" customFormat="1" ht="15" customHeight="1">
      <c r="B600" s="1273"/>
      <c r="C600" s="1273"/>
      <c r="D600" s="793" t="s">
        <v>1802</v>
      </c>
      <c r="E600" s="776" t="s">
        <v>918</v>
      </c>
      <c r="F600" s="776" t="s">
        <v>918</v>
      </c>
      <c r="G600" s="905">
        <v>2500000</v>
      </c>
      <c r="I600" s="1012"/>
    </row>
    <row r="601" spans="2:9" s="746" customFormat="1" ht="15" customHeight="1">
      <c r="B601" s="1273"/>
      <c r="C601" s="1273"/>
      <c r="D601" s="793" t="s">
        <v>1803</v>
      </c>
      <c r="E601" s="776" t="s">
        <v>918</v>
      </c>
      <c r="F601" s="776" t="s">
        <v>918</v>
      </c>
      <c r="G601" s="905">
        <v>300000</v>
      </c>
      <c r="I601" s="1012"/>
    </row>
    <row r="602" spans="2:9" s="746" customFormat="1" ht="15" customHeight="1">
      <c r="B602" s="1273"/>
      <c r="C602" s="1273"/>
      <c r="D602" s="793" t="s">
        <v>1804</v>
      </c>
      <c r="E602" s="776" t="s">
        <v>918</v>
      </c>
      <c r="F602" s="776" t="s">
        <v>1791</v>
      </c>
      <c r="G602" s="905">
        <v>7000000</v>
      </c>
      <c r="I602" s="1012"/>
    </row>
    <row r="603" spans="2:9" s="746" customFormat="1" ht="31.5">
      <c r="B603" s="1273"/>
      <c r="C603" s="1273"/>
      <c r="D603" s="793" t="s">
        <v>1805</v>
      </c>
      <c r="E603" s="776" t="s">
        <v>918</v>
      </c>
      <c r="F603" s="776" t="s">
        <v>1806</v>
      </c>
      <c r="G603" s="905">
        <v>9000000</v>
      </c>
      <c r="I603" s="1012"/>
    </row>
    <row r="604" spans="2:9" s="746" customFormat="1" ht="31.5">
      <c r="B604" s="1273"/>
      <c r="C604" s="1273"/>
      <c r="D604" s="793" t="s">
        <v>1807</v>
      </c>
      <c r="E604" s="776" t="s">
        <v>918</v>
      </c>
      <c r="F604" s="776" t="s">
        <v>921</v>
      </c>
      <c r="G604" s="905">
        <v>4000000</v>
      </c>
      <c r="I604" s="1012"/>
    </row>
    <row r="605" spans="2:9" s="746" customFormat="1" ht="47.25">
      <c r="B605" s="1273"/>
      <c r="C605" s="1273"/>
      <c r="D605" s="793" t="s">
        <v>1808</v>
      </c>
      <c r="E605" s="776" t="s">
        <v>918</v>
      </c>
      <c r="F605" s="776" t="s">
        <v>921</v>
      </c>
      <c r="G605" s="905">
        <v>3600000</v>
      </c>
      <c r="I605" s="1012"/>
    </row>
    <row r="606" spans="2:9" s="1046" customFormat="1" ht="15" customHeight="1">
      <c r="B606" s="1273"/>
      <c r="C606" s="1273"/>
      <c r="D606" s="1079" t="s">
        <v>2292</v>
      </c>
      <c r="E606" s="1070" t="s">
        <v>918</v>
      </c>
      <c r="F606" s="1070" t="s">
        <v>1809</v>
      </c>
      <c r="G606" s="1080">
        <v>2500000</v>
      </c>
      <c r="I606" s="1048"/>
    </row>
    <row r="607" spans="2:9" s="746" customFormat="1" ht="15" customHeight="1">
      <c r="B607" s="1273"/>
      <c r="C607" s="1273"/>
      <c r="D607" s="793" t="s">
        <v>1810</v>
      </c>
      <c r="E607" s="776" t="s">
        <v>918</v>
      </c>
      <c r="F607" s="776" t="s">
        <v>1789</v>
      </c>
      <c r="G607" s="905">
        <v>800000</v>
      </c>
      <c r="I607" s="1012"/>
    </row>
    <row r="608" spans="2:9" s="746" customFormat="1" ht="31.5">
      <c r="B608" s="1273"/>
      <c r="C608" s="1273"/>
      <c r="D608" s="793" t="s">
        <v>1811</v>
      </c>
      <c r="E608" s="776" t="s">
        <v>918</v>
      </c>
      <c r="F608" s="776" t="s">
        <v>1789</v>
      </c>
      <c r="G608" s="905">
        <v>1500000</v>
      </c>
      <c r="I608" s="1012"/>
    </row>
    <row r="609" spans="2:7" ht="15" customHeight="1" thickBot="1">
      <c r="B609" s="1274"/>
      <c r="C609" s="1274"/>
      <c r="D609" s="442"/>
      <c r="E609" s="442"/>
      <c r="F609" s="442"/>
      <c r="G609" s="443"/>
    </row>
    <row r="610" spans="2:7" ht="15" customHeight="1" thickBot="1">
      <c r="B610" s="683"/>
      <c r="C610" s="683"/>
      <c r="D610" s="446" t="s">
        <v>9</v>
      </c>
      <c r="E610" s="447"/>
      <c r="F610" s="447"/>
      <c r="G610" s="454">
        <f>SUM(G555:G609)</f>
        <v>163600000</v>
      </c>
    </row>
    <row r="611" spans="2:7" ht="15" customHeight="1">
      <c r="B611" s="1273">
        <v>4</v>
      </c>
      <c r="C611" s="1273" t="s">
        <v>965</v>
      </c>
      <c r="D611" s="1097" t="s">
        <v>2139</v>
      </c>
      <c r="E611" s="868" t="s">
        <v>755</v>
      </c>
      <c r="F611" s="868" t="s">
        <v>2140</v>
      </c>
      <c r="G611" s="777">
        <v>3000000</v>
      </c>
    </row>
    <row r="612" spans="2:9" s="1046" customFormat="1" ht="15" customHeight="1">
      <c r="B612" s="1273"/>
      <c r="C612" s="1273"/>
      <c r="D612" s="1099" t="s">
        <v>2270</v>
      </c>
      <c r="E612" s="1096" t="s">
        <v>755</v>
      </c>
      <c r="F612" s="1070" t="s">
        <v>2280</v>
      </c>
      <c r="G612" s="1071">
        <v>1500000</v>
      </c>
      <c r="I612" s="1048"/>
    </row>
    <row r="613" spans="2:9" s="1046" customFormat="1" ht="15" customHeight="1">
      <c r="B613" s="1273"/>
      <c r="C613" s="1273"/>
      <c r="D613" s="1099" t="s">
        <v>2271</v>
      </c>
      <c r="E613" s="1096" t="s">
        <v>755</v>
      </c>
      <c r="F613" s="1070" t="s">
        <v>757</v>
      </c>
      <c r="G613" s="1071">
        <v>3000000</v>
      </c>
      <c r="I613" s="1048"/>
    </row>
    <row r="614" spans="2:7" ht="15" customHeight="1">
      <c r="B614" s="1273"/>
      <c r="C614" s="1273"/>
      <c r="D614" s="1098" t="s">
        <v>2141</v>
      </c>
      <c r="E614" s="868" t="s">
        <v>755</v>
      </c>
      <c r="F614" s="868" t="s">
        <v>755</v>
      </c>
      <c r="G614" s="777">
        <v>4000000</v>
      </c>
    </row>
    <row r="615" spans="2:7" ht="14.25" customHeight="1">
      <c r="B615" s="1273"/>
      <c r="C615" s="1273"/>
      <c r="D615" s="868" t="s">
        <v>1890</v>
      </c>
      <c r="E615" s="868" t="s">
        <v>755</v>
      </c>
      <c r="F615" s="868" t="s">
        <v>755</v>
      </c>
      <c r="G615" s="777">
        <v>2000000</v>
      </c>
    </row>
    <row r="616" spans="2:7" ht="14.25" customHeight="1">
      <c r="B616" s="1273"/>
      <c r="C616" s="1273"/>
      <c r="D616" s="868" t="s">
        <v>2142</v>
      </c>
      <c r="E616" s="868" t="s">
        <v>814</v>
      </c>
      <c r="F616" s="868" t="s">
        <v>1829</v>
      </c>
      <c r="G616" s="777">
        <v>5000000</v>
      </c>
    </row>
    <row r="617" spans="2:7" ht="14.25" customHeight="1">
      <c r="B617" s="1273"/>
      <c r="C617" s="1273"/>
      <c r="D617" s="868" t="s">
        <v>2143</v>
      </c>
      <c r="E617" s="868" t="s">
        <v>814</v>
      </c>
      <c r="F617" s="868" t="s">
        <v>2144</v>
      </c>
      <c r="G617" s="777">
        <v>5000000</v>
      </c>
    </row>
    <row r="618" spans="2:7" ht="14.25" customHeight="1">
      <c r="B618" s="1273"/>
      <c r="C618" s="1273"/>
      <c r="D618" s="868" t="s">
        <v>2145</v>
      </c>
      <c r="E618" s="868" t="s">
        <v>814</v>
      </c>
      <c r="F618" s="868" t="s">
        <v>818</v>
      </c>
      <c r="G618" s="777">
        <v>3000000</v>
      </c>
    </row>
    <row r="619" spans="2:7" ht="14.25" customHeight="1">
      <c r="B619" s="1273"/>
      <c r="C619" s="1273"/>
      <c r="D619" s="868" t="s">
        <v>2146</v>
      </c>
      <c r="E619" s="868" t="s">
        <v>814</v>
      </c>
      <c r="F619" s="868" t="s">
        <v>2147</v>
      </c>
      <c r="G619" s="777">
        <v>3000000</v>
      </c>
    </row>
    <row r="620" spans="2:7" ht="14.25" customHeight="1">
      <c r="B620" s="1273"/>
      <c r="C620" s="1273"/>
      <c r="D620" s="868" t="s">
        <v>2148</v>
      </c>
      <c r="E620" s="868" t="s">
        <v>814</v>
      </c>
      <c r="F620" s="868" t="s">
        <v>429</v>
      </c>
      <c r="G620" s="777">
        <v>3000000</v>
      </c>
    </row>
    <row r="621" spans="2:7" ht="14.25" customHeight="1">
      <c r="B621" s="1273"/>
      <c r="C621" s="1273"/>
      <c r="D621" s="868" t="s">
        <v>2149</v>
      </c>
      <c r="E621" s="868" t="s">
        <v>814</v>
      </c>
      <c r="F621" s="868" t="s">
        <v>2150</v>
      </c>
      <c r="G621" s="777">
        <v>3000000</v>
      </c>
    </row>
    <row r="622" spans="2:7" ht="14.25" customHeight="1">
      <c r="B622" s="1273"/>
      <c r="C622" s="1273"/>
      <c r="D622" s="868" t="s">
        <v>2154</v>
      </c>
      <c r="E622" s="868" t="s">
        <v>814</v>
      </c>
      <c r="F622" s="952" t="s">
        <v>2155</v>
      </c>
      <c r="G622" s="777">
        <v>5000000</v>
      </c>
    </row>
    <row r="623" spans="2:7" ht="14.25" customHeight="1">
      <c r="B623" s="1273"/>
      <c r="C623" s="1273"/>
      <c r="D623" s="868" t="s">
        <v>2160</v>
      </c>
      <c r="E623" s="868" t="s">
        <v>814</v>
      </c>
      <c r="F623" s="868" t="s">
        <v>818</v>
      </c>
      <c r="G623" s="777">
        <v>3000000</v>
      </c>
    </row>
    <row r="624" spans="2:9" s="1046" customFormat="1" ht="31.5">
      <c r="B624" s="1273"/>
      <c r="C624" s="1279"/>
      <c r="D624" s="1079" t="s">
        <v>2279</v>
      </c>
      <c r="E624" s="1070" t="s">
        <v>1822</v>
      </c>
      <c r="F624" s="1070" t="s">
        <v>785</v>
      </c>
      <c r="G624" s="1071">
        <v>5000000</v>
      </c>
      <c r="I624" s="1048"/>
    </row>
    <row r="625" spans="2:9" s="1046" customFormat="1" ht="14.25" customHeight="1">
      <c r="B625" s="1273"/>
      <c r="C625" s="1279"/>
      <c r="D625" s="1070" t="s">
        <v>2266</v>
      </c>
      <c r="E625" s="1070" t="s">
        <v>1822</v>
      </c>
      <c r="F625" s="1070" t="s">
        <v>783</v>
      </c>
      <c r="G625" s="1071">
        <v>5000000</v>
      </c>
      <c r="I625" s="1048"/>
    </row>
    <row r="626" spans="2:9" s="1046" customFormat="1" ht="14.25" customHeight="1">
      <c r="B626" s="1273"/>
      <c r="C626" s="1279"/>
      <c r="D626" s="1070" t="s">
        <v>2267</v>
      </c>
      <c r="E626" s="1070" t="s">
        <v>1822</v>
      </c>
      <c r="F626" s="1070" t="s">
        <v>783</v>
      </c>
      <c r="G626" s="1071">
        <v>5000000</v>
      </c>
      <c r="I626" s="1048"/>
    </row>
    <row r="627" spans="2:9" s="1046" customFormat="1" ht="14.25" customHeight="1">
      <c r="B627" s="1273"/>
      <c r="C627" s="1279"/>
      <c r="D627" s="1070" t="s">
        <v>2268</v>
      </c>
      <c r="E627" s="1070" t="s">
        <v>1822</v>
      </c>
      <c r="F627" s="1070" t="s">
        <v>792</v>
      </c>
      <c r="G627" s="1071">
        <v>3000000</v>
      </c>
      <c r="I627" s="1048"/>
    </row>
    <row r="628" spans="2:9" s="1046" customFormat="1" ht="14.25" customHeight="1">
      <c r="B628" s="1273"/>
      <c r="C628" s="1279"/>
      <c r="D628" s="1070" t="s">
        <v>2269</v>
      </c>
      <c r="E628" s="1070" t="s">
        <v>1822</v>
      </c>
      <c r="F628" s="1070" t="s">
        <v>785</v>
      </c>
      <c r="G628" s="1071">
        <v>3000000</v>
      </c>
      <c r="I628" s="1048"/>
    </row>
    <row r="629" spans="2:9" s="1046" customFormat="1" ht="15.75">
      <c r="B629" s="1273"/>
      <c r="C629" s="1279"/>
      <c r="D629" s="1092" t="s">
        <v>1821</v>
      </c>
      <c r="E629" s="1091" t="s">
        <v>1822</v>
      </c>
      <c r="F629" s="1092" t="s">
        <v>792</v>
      </c>
      <c r="G629" s="1093">
        <v>1000000</v>
      </c>
      <c r="I629" s="1048"/>
    </row>
    <row r="630" spans="2:7" ht="15" customHeight="1" thickBot="1">
      <c r="B630" s="1273"/>
      <c r="C630" s="1273"/>
      <c r="D630" s="442"/>
      <c r="E630" s="442"/>
      <c r="F630" s="442"/>
      <c r="G630" s="443"/>
    </row>
    <row r="631" spans="2:7" ht="15" customHeight="1" thickBot="1">
      <c r="B631" s="683"/>
      <c r="C631" s="683"/>
      <c r="D631" s="446" t="s">
        <v>9</v>
      </c>
      <c r="E631" s="447"/>
      <c r="F631" s="447"/>
      <c r="G631" s="454">
        <f>SUM(G611:G630)</f>
        <v>65500000</v>
      </c>
    </row>
    <row r="632" spans="2:7" ht="31.5">
      <c r="B632" s="1278">
        <v>5</v>
      </c>
      <c r="C632" s="1335" t="s">
        <v>973</v>
      </c>
      <c r="D632" s="1100" t="s">
        <v>2152</v>
      </c>
      <c r="E632" s="1100" t="s">
        <v>814</v>
      </c>
      <c r="F632" s="952" t="s">
        <v>2153</v>
      </c>
      <c r="G632" s="777">
        <v>10000000</v>
      </c>
    </row>
    <row r="633" spans="2:7" ht="15" customHeight="1">
      <c r="B633" s="1273"/>
      <c r="C633" s="1329"/>
      <c r="D633" s="868" t="s">
        <v>2151</v>
      </c>
      <c r="E633" s="868" t="s">
        <v>814</v>
      </c>
      <c r="F633" s="868" t="s">
        <v>2068</v>
      </c>
      <c r="G633" s="777">
        <v>15000000</v>
      </c>
    </row>
    <row r="634" spans="2:7" ht="15" customHeight="1">
      <c r="B634" s="1273"/>
      <c r="C634" s="1329"/>
      <c r="D634" s="794" t="s">
        <v>2120</v>
      </c>
      <c r="E634" s="795" t="s">
        <v>1451</v>
      </c>
      <c r="F634" s="950" t="s">
        <v>2054</v>
      </c>
      <c r="G634" s="955">
        <v>10000000</v>
      </c>
    </row>
    <row r="635" spans="2:7" ht="16.5" thickBot="1">
      <c r="B635" s="1274"/>
      <c r="C635" s="1330"/>
      <c r="D635" s="758" t="s">
        <v>2191</v>
      </c>
      <c r="E635" s="762" t="s">
        <v>1864</v>
      </c>
      <c r="F635" s="758" t="s">
        <v>1889</v>
      </c>
      <c r="G635" s="769">
        <v>30000000</v>
      </c>
    </row>
    <row r="636" spans="2:7" ht="15" customHeight="1" thickBot="1">
      <c r="B636" s="683"/>
      <c r="C636" s="683"/>
      <c r="D636" s="446" t="s">
        <v>9</v>
      </c>
      <c r="E636" s="447"/>
      <c r="F636" s="447"/>
      <c r="G636" s="454">
        <f>SUM(G632:G635)</f>
        <v>65000000</v>
      </c>
    </row>
    <row r="637" spans="2:7" ht="15" customHeight="1" thickBot="1">
      <c r="B637" s="726"/>
      <c r="C637" s="1286" t="s">
        <v>984</v>
      </c>
      <c r="D637" s="1287"/>
      <c r="E637" s="1287"/>
      <c r="F637" s="1288"/>
      <c r="G637" s="727">
        <f>SUM(G636,G631,G610,G554,G503)</f>
        <v>587450000</v>
      </c>
    </row>
    <row r="638" spans="2:7" ht="15" customHeight="1">
      <c r="B638" s="734"/>
      <c r="C638" s="444"/>
      <c r="D638" s="444"/>
      <c r="E638" s="444"/>
      <c r="F638" s="735"/>
      <c r="G638" s="736"/>
    </row>
    <row r="639" spans="2:7" ht="15" customHeight="1">
      <c r="B639" s="1301" t="s">
        <v>986</v>
      </c>
      <c r="C639" s="1301"/>
      <c r="D639" s="1301"/>
      <c r="E639" s="1301"/>
      <c r="F639" s="1301"/>
      <c r="G639" s="1301"/>
    </row>
    <row r="640" spans="2:7" ht="15" customHeight="1">
      <c r="B640" s="680"/>
      <c r="C640" s="449"/>
      <c r="D640" s="449"/>
      <c r="E640" s="449"/>
      <c r="F640" s="725"/>
      <c r="G640" s="700"/>
    </row>
    <row r="641" spans="2:9" s="677" customFormat="1" ht="35.25" customHeight="1">
      <c r="B641" s="690" t="s">
        <v>4</v>
      </c>
      <c r="C641" s="674" t="s">
        <v>481</v>
      </c>
      <c r="D641" s="675" t="s">
        <v>988</v>
      </c>
      <c r="E641" s="675" t="s">
        <v>7</v>
      </c>
      <c r="F641" s="674" t="s">
        <v>712</v>
      </c>
      <c r="G641" s="676" t="s">
        <v>5</v>
      </c>
      <c r="I641" s="1006"/>
    </row>
    <row r="642" spans="2:7" ht="15" customHeight="1">
      <c r="B642" s="1275">
        <v>1</v>
      </c>
      <c r="C642" s="1299" t="s">
        <v>1538</v>
      </c>
      <c r="D642" s="761" t="s">
        <v>1539</v>
      </c>
      <c r="E642" s="806" t="s">
        <v>864</v>
      </c>
      <c r="F642" s="761" t="s">
        <v>864</v>
      </c>
      <c r="G642" s="807">
        <v>500000</v>
      </c>
    </row>
    <row r="643" spans="2:7" ht="15" customHeight="1">
      <c r="B643" s="1273"/>
      <c r="C643" s="1279"/>
      <c r="D643" s="763" t="s">
        <v>1540</v>
      </c>
      <c r="E643" s="760" t="s">
        <v>194</v>
      </c>
      <c r="F643" s="763" t="s">
        <v>194</v>
      </c>
      <c r="G643" s="808">
        <v>500000</v>
      </c>
    </row>
    <row r="644" spans="2:7" ht="15" customHeight="1">
      <c r="B644" s="1273"/>
      <c r="C644" s="1279"/>
      <c r="D644" s="761" t="s">
        <v>1988</v>
      </c>
      <c r="E644" s="806" t="s">
        <v>159</v>
      </c>
      <c r="F644" s="761" t="s">
        <v>159</v>
      </c>
      <c r="G644" s="807">
        <v>500000</v>
      </c>
    </row>
    <row r="645" spans="2:7" ht="15" customHeight="1">
      <c r="B645" s="1273"/>
      <c r="C645" s="1279"/>
      <c r="D645" s="763" t="s">
        <v>1888</v>
      </c>
      <c r="E645" s="760" t="s">
        <v>567</v>
      </c>
      <c r="F645" s="763" t="s">
        <v>567</v>
      </c>
      <c r="G645" s="808">
        <v>1200000</v>
      </c>
    </row>
    <row r="646" spans="2:7" ht="15" customHeight="1">
      <c r="B646" s="1273"/>
      <c r="C646" s="1279"/>
      <c r="D646" s="761" t="s">
        <v>1541</v>
      </c>
      <c r="E646" s="806" t="s">
        <v>567</v>
      </c>
      <c r="F646" s="761" t="s">
        <v>1542</v>
      </c>
      <c r="G646" s="807">
        <v>500000</v>
      </c>
    </row>
    <row r="647" spans="2:7" ht="15" customHeight="1">
      <c r="B647" s="1273"/>
      <c r="C647" s="1279"/>
      <c r="D647" s="763" t="s">
        <v>1543</v>
      </c>
      <c r="E647" s="760" t="s">
        <v>567</v>
      </c>
      <c r="F647" s="763" t="s">
        <v>1544</v>
      </c>
      <c r="G647" s="808">
        <v>4000000</v>
      </c>
    </row>
    <row r="648" spans="2:7" ht="15" customHeight="1" thickBot="1">
      <c r="B648" s="1274"/>
      <c r="C648" s="1294"/>
      <c r="D648" s="761" t="s">
        <v>1545</v>
      </c>
      <c r="E648" s="806" t="s">
        <v>567</v>
      </c>
      <c r="F648" s="761" t="s">
        <v>1546</v>
      </c>
      <c r="G648" s="807">
        <v>500000</v>
      </c>
    </row>
    <row r="649" spans="2:7" ht="15" customHeight="1" thickBot="1">
      <c r="B649" s="450"/>
      <c r="C649" s="450"/>
      <c r="D649" s="446" t="s">
        <v>9</v>
      </c>
      <c r="E649" s="447"/>
      <c r="F649" s="447"/>
      <c r="G649" s="448">
        <f>SUM(G642:G648)</f>
        <v>7700000</v>
      </c>
    </row>
    <row r="650" spans="2:7" ht="15" customHeight="1">
      <c r="B650" s="1278">
        <v>2</v>
      </c>
      <c r="C650" s="1278" t="s">
        <v>1537</v>
      </c>
      <c r="D650" s="761" t="s">
        <v>1638</v>
      </c>
      <c r="E650" s="842" t="s">
        <v>336</v>
      </c>
      <c r="F650" s="809" t="s">
        <v>1639</v>
      </c>
      <c r="G650" s="807">
        <v>500000</v>
      </c>
    </row>
    <row r="651" spans="2:7" ht="15" customHeight="1">
      <c r="B651" s="1273"/>
      <c r="C651" s="1273"/>
      <c r="D651" s="761" t="s">
        <v>1650</v>
      </c>
      <c r="E651" s="842" t="s">
        <v>464</v>
      </c>
      <c r="F651" s="809" t="s">
        <v>1648</v>
      </c>
      <c r="G651" s="807">
        <v>1200000</v>
      </c>
    </row>
    <row r="652" spans="2:9" s="906" customFormat="1" ht="15" customHeight="1">
      <c r="B652" s="1273"/>
      <c r="C652" s="1273"/>
      <c r="D652" s="761" t="s">
        <v>1661</v>
      </c>
      <c r="E652" s="918" t="s">
        <v>442</v>
      </c>
      <c r="F652" s="809" t="s">
        <v>1438</v>
      </c>
      <c r="G652" s="809">
        <v>4000000</v>
      </c>
      <c r="I652" s="1013"/>
    </row>
    <row r="653" spans="2:9" s="906" customFormat="1" ht="15" customHeight="1" thickBot="1">
      <c r="B653" s="1273"/>
      <c r="C653" s="1273"/>
      <c r="D653" s="761" t="s">
        <v>1680</v>
      </c>
      <c r="E653" s="918" t="s">
        <v>427</v>
      </c>
      <c r="F653" s="809" t="s">
        <v>428</v>
      </c>
      <c r="G653" s="809">
        <v>3500000</v>
      </c>
      <c r="I653" s="1013"/>
    </row>
    <row r="654" spans="2:7" ht="15" customHeight="1" thickBot="1">
      <c r="B654" s="450"/>
      <c r="C654" s="450"/>
      <c r="D654" s="446" t="s">
        <v>9</v>
      </c>
      <c r="E654" s="447"/>
      <c r="F654" s="447"/>
      <c r="G654" s="448">
        <f>SUM(G650:G653)</f>
        <v>9200000</v>
      </c>
    </row>
    <row r="655" spans="2:7" ht="15" customHeight="1">
      <c r="B655" s="1278">
        <v>3</v>
      </c>
      <c r="C655" s="1278" t="s">
        <v>966</v>
      </c>
      <c r="D655" s="849" t="s">
        <v>1712</v>
      </c>
      <c r="E655" s="852" t="s">
        <v>594</v>
      </c>
      <c r="F655" s="850" t="s">
        <v>594</v>
      </c>
      <c r="G655" s="853">
        <v>500000</v>
      </c>
    </row>
    <row r="656" spans="2:7" ht="15" customHeight="1">
      <c r="B656" s="1273"/>
      <c r="C656" s="1273"/>
      <c r="D656" s="438" t="s">
        <v>1989</v>
      </c>
      <c r="E656" s="852" t="s">
        <v>682</v>
      </c>
      <c r="F656" s="443" t="s">
        <v>947</v>
      </c>
      <c r="G656" s="439">
        <v>4000000</v>
      </c>
    </row>
    <row r="657" spans="2:7" ht="15" customHeight="1">
      <c r="B657" s="1273"/>
      <c r="C657" s="1273"/>
      <c r="D657" s="761" t="s">
        <v>1887</v>
      </c>
      <c r="E657" s="806" t="s">
        <v>682</v>
      </c>
      <c r="F657" s="809" t="s">
        <v>1753</v>
      </c>
      <c r="G657" s="807">
        <v>500000</v>
      </c>
    </row>
    <row r="658" spans="2:7" ht="15" customHeight="1">
      <c r="B658" s="1273"/>
      <c r="C658" s="1273"/>
      <c r="D658" s="761" t="s">
        <v>1754</v>
      </c>
      <c r="E658" s="806" t="s">
        <v>682</v>
      </c>
      <c r="F658" s="809" t="s">
        <v>1753</v>
      </c>
      <c r="G658" s="807">
        <v>600000</v>
      </c>
    </row>
    <row r="659" spans="2:7" ht="15" customHeight="1" thickBot="1">
      <c r="B659" s="1273"/>
      <c r="C659" s="1273"/>
      <c r="D659" s="793" t="s">
        <v>1882</v>
      </c>
      <c r="E659" s="776" t="s">
        <v>918</v>
      </c>
      <c r="F659" s="776" t="s">
        <v>1812</v>
      </c>
      <c r="G659" s="905">
        <v>3000000</v>
      </c>
    </row>
    <row r="660" spans="2:7" ht="15" customHeight="1" thickBot="1">
      <c r="B660" s="450"/>
      <c r="C660" s="450"/>
      <c r="D660" s="446" t="s">
        <v>9</v>
      </c>
      <c r="E660" s="447"/>
      <c r="F660" s="447"/>
      <c r="G660" s="448">
        <f>SUM(G655:G659)</f>
        <v>8600000</v>
      </c>
    </row>
    <row r="661" spans="2:7" ht="15" customHeight="1">
      <c r="B661" s="1278">
        <v>4</v>
      </c>
      <c r="C661" s="1278" t="s">
        <v>967</v>
      </c>
      <c r="D661" s="681"/>
      <c r="E661" s="438"/>
      <c r="F661" s="438"/>
      <c r="G661" s="439"/>
    </row>
    <row r="662" spans="2:7" ht="15" customHeight="1">
      <c r="B662" s="1273"/>
      <c r="C662" s="1273"/>
      <c r="D662" s="681"/>
      <c r="E662" s="438"/>
      <c r="F662" s="438"/>
      <c r="G662" s="439"/>
    </row>
    <row r="663" spans="2:7" ht="15" customHeight="1">
      <c r="B663" s="1273"/>
      <c r="C663" s="1273"/>
      <c r="D663" s="681"/>
      <c r="E663" s="438"/>
      <c r="F663" s="438"/>
      <c r="G663" s="439"/>
    </row>
    <row r="664" spans="2:7" ht="15" customHeight="1" thickBot="1">
      <c r="B664" s="1274"/>
      <c r="C664" s="1274"/>
      <c r="D664" s="693"/>
      <c r="E664" s="438"/>
      <c r="F664" s="438"/>
      <c r="G664" s="439"/>
    </row>
    <row r="665" spans="2:7" ht="15" customHeight="1" thickBot="1">
      <c r="B665" s="450"/>
      <c r="C665" s="450"/>
      <c r="D665" s="446" t="s">
        <v>9</v>
      </c>
      <c r="E665" s="447"/>
      <c r="F665" s="447"/>
      <c r="G665" s="448">
        <f>SUM(G661:G664)</f>
        <v>0</v>
      </c>
    </row>
    <row r="666" spans="2:7" ht="31.5">
      <c r="B666" s="1273">
        <v>5</v>
      </c>
      <c r="C666" s="1273" t="s">
        <v>973</v>
      </c>
      <c r="D666" s="438" t="s">
        <v>1986</v>
      </c>
      <c r="E666" s="443" t="s">
        <v>782</v>
      </c>
      <c r="F666" s="443" t="s">
        <v>1870</v>
      </c>
      <c r="G666" s="439">
        <v>62000000</v>
      </c>
    </row>
    <row r="667" spans="2:7" ht="15.75">
      <c r="B667" s="1273"/>
      <c r="C667" s="1273"/>
      <c r="D667" s="438" t="s">
        <v>1987</v>
      </c>
      <c r="E667" s="443" t="s">
        <v>755</v>
      </c>
      <c r="F667" s="443" t="s">
        <v>755</v>
      </c>
      <c r="G667" s="439">
        <v>15000000</v>
      </c>
    </row>
    <row r="668" spans="2:7" ht="16.5" thickBot="1">
      <c r="B668" s="1273"/>
      <c r="C668" s="1273"/>
      <c r="D668" s="438" t="s">
        <v>1300</v>
      </c>
      <c r="E668" s="443" t="s">
        <v>1889</v>
      </c>
      <c r="F668" s="443" t="s">
        <v>1889</v>
      </c>
      <c r="G668" s="439">
        <v>30000000</v>
      </c>
    </row>
    <row r="669" spans="2:7" ht="15" customHeight="1" thickBot="1">
      <c r="B669" s="450"/>
      <c r="C669" s="450"/>
      <c r="D669" s="446" t="s">
        <v>9</v>
      </c>
      <c r="E669" s="447"/>
      <c r="F669" s="447"/>
      <c r="G669" s="448">
        <f>SUM(G666:G668)</f>
        <v>107000000</v>
      </c>
    </row>
    <row r="670" spans="2:7" ht="15" customHeight="1" thickBot="1">
      <c r="B670" s="726"/>
      <c r="C670" s="728"/>
      <c r="D670" s="1286" t="s">
        <v>985</v>
      </c>
      <c r="E670" s="1287"/>
      <c r="F670" s="1288"/>
      <c r="G670" s="727">
        <f>SUM(G669,G665,G660,G654,G649)</f>
        <v>132500000</v>
      </c>
    </row>
    <row r="671" spans="2:7" ht="15" customHeight="1">
      <c r="B671" s="729"/>
      <c r="C671" s="707"/>
      <c r="D671" s="708"/>
      <c r="E671" s="708"/>
      <c r="F671" s="707"/>
      <c r="G671" s="730"/>
    </row>
    <row r="672" spans="2:7" ht="15" customHeight="1">
      <c r="B672" s="1332" t="s">
        <v>486</v>
      </c>
      <c r="C672" s="1332"/>
      <c r="D672" s="1332"/>
      <c r="E672" s="1332"/>
      <c r="F672" s="1332"/>
      <c r="G672" s="1332"/>
    </row>
    <row r="673" spans="2:7" ht="15" customHeight="1">
      <c r="B673" s="1298"/>
      <c r="C673" s="1298"/>
      <c r="D673" s="1298"/>
      <c r="E673" s="1298"/>
      <c r="F673" s="1298"/>
      <c r="G673" s="1298"/>
    </row>
    <row r="674" spans="2:9" s="677" customFormat="1" ht="31.5">
      <c r="B674" s="690" t="s">
        <v>4</v>
      </c>
      <c r="C674" s="674" t="s">
        <v>481</v>
      </c>
      <c r="D674" s="675" t="s">
        <v>988</v>
      </c>
      <c r="E674" s="675" t="s">
        <v>7</v>
      </c>
      <c r="F674" s="674" t="s">
        <v>712</v>
      </c>
      <c r="G674" s="676" t="s">
        <v>5</v>
      </c>
      <c r="I674" s="1006"/>
    </row>
    <row r="675" spans="2:9" s="677" customFormat="1" ht="15.75">
      <c r="B675" s="1327">
        <v>1</v>
      </c>
      <c r="C675" s="1275" t="s">
        <v>963</v>
      </c>
      <c r="D675" s="761" t="s">
        <v>1547</v>
      </c>
      <c r="E675" s="761" t="s">
        <v>159</v>
      </c>
      <c r="F675" s="761" t="s">
        <v>1548</v>
      </c>
      <c r="G675" s="809">
        <v>5000000</v>
      </c>
      <c r="I675" s="1006"/>
    </row>
    <row r="676" spans="2:7" ht="15" customHeight="1">
      <c r="B676" s="1328"/>
      <c r="C676" s="1273"/>
      <c r="D676" s="761" t="s">
        <v>1549</v>
      </c>
      <c r="E676" s="761" t="s">
        <v>567</v>
      </c>
      <c r="F676" s="761" t="s">
        <v>289</v>
      </c>
      <c r="G676" s="809">
        <v>500000</v>
      </c>
    </row>
    <row r="677" spans="2:7" ht="15" customHeight="1" thickBot="1">
      <c r="B677" s="1328"/>
      <c r="C677" s="1273"/>
      <c r="D677" s="761" t="s">
        <v>1886</v>
      </c>
      <c r="E677" s="761" t="s">
        <v>567</v>
      </c>
      <c r="F677" s="761" t="s">
        <v>567</v>
      </c>
      <c r="G677" s="809">
        <v>5000000</v>
      </c>
    </row>
    <row r="678" spans="2:7" ht="15" customHeight="1" thickBot="1">
      <c r="B678" s="683"/>
      <c r="C678" s="455"/>
      <c r="D678" s="446" t="s">
        <v>9</v>
      </c>
      <c r="E678" s="447"/>
      <c r="F678" s="447"/>
      <c r="G678" s="454">
        <f>SUM(G675:G677)</f>
        <v>10500000</v>
      </c>
    </row>
    <row r="679" spans="2:7" ht="15" customHeight="1">
      <c r="B679" s="1278">
        <v>2</v>
      </c>
      <c r="C679" s="1278" t="s">
        <v>964</v>
      </c>
      <c r="D679" s="711" t="s">
        <v>1589</v>
      </c>
      <c r="E679" s="778" t="s">
        <v>1590</v>
      </c>
      <c r="F679" s="824" t="s">
        <v>398</v>
      </c>
      <c r="G679" s="713">
        <v>1000000</v>
      </c>
    </row>
    <row r="680" spans="2:7" ht="15" customHeight="1">
      <c r="B680" s="1273"/>
      <c r="C680" s="1273"/>
      <c r="D680" s="711" t="s">
        <v>1626</v>
      </c>
      <c r="E680" s="826" t="s">
        <v>363</v>
      </c>
      <c r="F680" s="824" t="s">
        <v>385</v>
      </c>
      <c r="G680" s="713">
        <v>5000000</v>
      </c>
    </row>
    <row r="681" spans="2:7" ht="15" customHeight="1">
      <c r="B681" s="1273"/>
      <c r="C681" s="1273"/>
      <c r="D681" s="711" t="s">
        <v>1885</v>
      </c>
      <c r="E681" s="778" t="s">
        <v>336</v>
      </c>
      <c r="F681" s="824" t="s">
        <v>359</v>
      </c>
      <c r="G681" s="843">
        <v>1000000</v>
      </c>
    </row>
    <row r="682" spans="2:7" ht="15" customHeight="1">
      <c r="B682" s="1273"/>
      <c r="C682" s="1273"/>
      <c r="D682" s="711" t="s">
        <v>1883</v>
      </c>
      <c r="E682" s="778" t="s">
        <v>1681</v>
      </c>
      <c r="F682" s="824" t="s">
        <v>430</v>
      </c>
      <c r="G682" s="713">
        <v>1000000</v>
      </c>
    </row>
    <row r="683" spans="2:7" ht="15" customHeight="1">
      <c r="B683" s="1273"/>
      <c r="C683" s="1273"/>
      <c r="D683" s="711" t="s">
        <v>1884</v>
      </c>
      <c r="E683" s="826" t="s">
        <v>427</v>
      </c>
      <c r="F683" s="824" t="s">
        <v>1679</v>
      </c>
      <c r="G683" s="713">
        <v>1000000</v>
      </c>
    </row>
    <row r="684" spans="2:7" ht="15" customHeight="1" thickBot="1">
      <c r="B684" s="1274"/>
      <c r="C684" s="1274"/>
      <c r="D684" s="442" t="s">
        <v>2206</v>
      </c>
      <c r="E684" s="442" t="s">
        <v>442</v>
      </c>
      <c r="F684" s="442" t="s">
        <v>442</v>
      </c>
      <c r="G684" s="456">
        <v>1000000</v>
      </c>
    </row>
    <row r="685" spans="2:7" ht="15" customHeight="1" thickBot="1">
      <c r="B685" s="450"/>
      <c r="C685" s="450"/>
      <c r="D685" s="446" t="s">
        <v>9</v>
      </c>
      <c r="E685" s="447"/>
      <c r="F685" s="447"/>
      <c r="G685" s="448">
        <f>SUM(G679:G684)</f>
        <v>10000000</v>
      </c>
    </row>
    <row r="686" spans="2:7" ht="32.25" thickBot="1">
      <c r="B686" s="984">
        <v>3</v>
      </c>
      <c r="C686" s="984" t="s">
        <v>966</v>
      </c>
      <c r="D686" s="442" t="s">
        <v>2206</v>
      </c>
      <c r="E686" s="443" t="s">
        <v>682</v>
      </c>
      <c r="F686" s="442" t="s">
        <v>682</v>
      </c>
      <c r="G686" s="443">
        <v>1000000</v>
      </c>
    </row>
    <row r="687" spans="2:7" ht="15" customHeight="1" thickBot="1">
      <c r="B687" s="737"/>
      <c r="C687" s="450"/>
      <c r="D687" s="446" t="s">
        <v>9</v>
      </c>
      <c r="E687" s="447"/>
      <c r="F687" s="447"/>
      <c r="G687" s="448">
        <f>SUM(G686:G686)</f>
        <v>1000000</v>
      </c>
    </row>
    <row r="688" spans="2:7" ht="15.75">
      <c r="B688" s="1277"/>
      <c r="C688" s="1329" t="s">
        <v>967</v>
      </c>
      <c r="D688" s="776" t="s">
        <v>1881</v>
      </c>
      <c r="E688" s="776" t="s">
        <v>782</v>
      </c>
      <c r="F688" s="776" t="s">
        <v>783</v>
      </c>
      <c r="G688" s="777">
        <v>2000000</v>
      </c>
    </row>
    <row r="689" spans="2:7" ht="15.75">
      <c r="B689" s="1277"/>
      <c r="C689" s="1329"/>
      <c r="D689" s="831" t="s">
        <v>1841</v>
      </c>
      <c r="E689" s="958" t="s">
        <v>814</v>
      </c>
      <c r="F689" s="831" t="s">
        <v>1829</v>
      </c>
      <c r="G689" s="948">
        <v>1000000</v>
      </c>
    </row>
    <row r="690" spans="2:7" ht="15.75">
      <c r="B690" s="1277"/>
      <c r="C690" s="1329"/>
      <c r="D690" s="776" t="s">
        <v>2000</v>
      </c>
      <c r="E690" s="958" t="s">
        <v>814</v>
      </c>
      <c r="F690" s="776" t="s">
        <v>2001</v>
      </c>
      <c r="G690" s="777">
        <v>5000000</v>
      </c>
    </row>
    <row r="691" spans="2:7" ht="16.5" thickBot="1">
      <c r="B691" s="1292"/>
      <c r="C691" s="1331"/>
      <c r="D691" s="776" t="s">
        <v>2002</v>
      </c>
      <c r="E691" s="958" t="s">
        <v>814</v>
      </c>
      <c r="F691" s="776" t="s">
        <v>2003</v>
      </c>
      <c r="G691" s="777">
        <v>2000000</v>
      </c>
    </row>
    <row r="692" spans="2:7" ht="15" customHeight="1" thickBot="1">
      <c r="B692" s="738"/>
      <c r="C692" s="457"/>
      <c r="D692" s="446" t="s">
        <v>9</v>
      </c>
      <c r="E692" s="447"/>
      <c r="F692" s="447"/>
      <c r="G692" s="448">
        <f>SUM(G688:G691)</f>
        <v>10000000</v>
      </c>
    </row>
    <row r="693" spans="2:7" ht="15" customHeight="1">
      <c r="B693" s="1291">
        <v>5</v>
      </c>
      <c r="C693" s="1289" t="s">
        <v>973</v>
      </c>
      <c r="D693" s="442" t="s">
        <v>1928</v>
      </c>
      <c r="E693" s="443" t="s">
        <v>1864</v>
      </c>
      <c r="F693" s="442" t="s">
        <v>1864</v>
      </c>
      <c r="G693" s="443">
        <f>50000000-10000000-10000000</f>
        <v>30000000</v>
      </c>
    </row>
    <row r="694" spans="2:7" ht="15.75" customHeight="1">
      <c r="B694" s="1277"/>
      <c r="C694" s="1273"/>
      <c r="D694" s="442" t="s">
        <v>2004</v>
      </c>
      <c r="E694" s="443" t="s">
        <v>1958</v>
      </c>
      <c r="F694" s="442" t="s">
        <v>1958</v>
      </c>
      <c r="G694" s="443">
        <v>2000000</v>
      </c>
    </row>
    <row r="695" spans="2:7" ht="15.75" customHeight="1">
      <c r="B695" s="1277"/>
      <c r="C695" s="1273"/>
      <c r="D695" s="442" t="s">
        <v>2218</v>
      </c>
      <c r="E695" s="443" t="s">
        <v>1864</v>
      </c>
      <c r="F695" s="442" t="s">
        <v>1864</v>
      </c>
      <c r="G695" s="443">
        <v>20000000</v>
      </c>
    </row>
    <row r="696" spans="2:7" ht="15.75">
      <c r="B696" s="1277"/>
      <c r="C696" s="1273"/>
      <c r="D696" s="442" t="s">
        <v>2005</v>
      </c>
      <c r="E696" s="443" t="s">
        <v>1864</v>
      </c>
      <c r="F696" s="442" t="s">
        <v>1864</v>
      </c>
      <c r="G696" s="443">
        <v>5000000</v>
      </c>
    </row>
    <row r="697" spans="2:7" ht="15.75">
      <c r="B697" s="1277"/>
      <c r="C697" s="1273"/>
      <c r="D697" s="442" t="s">
        <v>2006</v>
      </c>
      <c r="E697" s="443" t="s">
        <v>1958</v>
      </c>
      <c r="F697" s="442" t="s">
        <v>1958</v>
      </c>
      <c r="G697" s="443">
        <v>1000000</v>
      </c>
    </row>
    <row r="698" spans="2:7" ht="16.5" thickBot="1">
      <c r="B698" s="1292"/>
      <c r="C698" s="1290"/>
      <c r="D698" s="444" t="s">
        <v>2008</v>
      </c>
      <c r="E698" s="445" t="s">
        <v>1958</v>
      </c>
      <c r="F698" s="444" t="s">
        <v>1958</v>
      </c>
      <c r="G698" s="703">
        <v>3000000</v>
      </c>
    </row>
    <row r="699" spans="2:7" ht="15" customHeight="1" thickBot="1">
      <c r="B699" s="738"/>
      <c r="C699" s="457"/>
      <c r="D699" s="446" t="s">
        <v>9</v>
      </c>
      <c r="E699" s="447"/>
      <c r="F699" s="447"/>
      <c r="G699" s="448">
        <f>SUM(G693:G698)</f>
        <v>61000000</v>
      </c>
    </row>
    <row r="700" spans="2:7" ht="15" customHeight="1" thickBot="1">
      <c r="B700" s="726"/>
      <c r="C700" s="1295" t="s">
        <v>990</v>
      </c>
      <c r="D700" s="1296"/>
      <c r="E700" s="1296"/>
      <c r="F700" s="1297"/>
      <c r="G700" s="727">
        <f>SUM(G699,G692,G687,G685,G678)</f>
        <v>92500000</v>
      </c>
    </row>
    <row r="701" spans="2:7" ht="15" customHeight="1" thickBot="1">
      <c r="B701" s="692"/>
      <c r="C701" s="739"/>
      <c r="D701" s="438"/>
      <c r="E701" s="438"/>
      <c r="F701" s="438"/>
      <c r="G701" s="439"/>
    </row>
    <row r="702" spans="2:7" ht="16.5" thickBot="1">
      <c r="B702" s="723"/>
      <c r="C702" s="1280" t="s">
        <v>996</v>
      </c>
      <c r="D702" s="1281"/>
      <c r="E702" s="1281"/>
      <c r="F702" s="1282"/>
      <c r="G702" s="448">
        <f>SUM(G700,G670,G637,G455,G399,G350,G328,G145,G71,G64,G28,G19,G8)</f>
        <v>3149941592.126</v>
      </c>
    </row>
    <row r="704" spans="2:9" s="939" customFormat="1" ht="15" customHeight="1">
      <c r="B704" s="440"/>
      <c r="C704" s="440"/>
      <c r="I704" s="1007"/>
    </row>
  </sheetData>
  <sheetProtection/>
  <mergeCells count="138">
    <mergeCell ref="B351:G351"/>
    <mergeCell ref="B29:B31"/>
    <mergeCell ref="C29:G29"/>
    <mergeCell ref="C31:G31"/>
    <mergeCell ref="C371:C374"/>
    <mergeCell ref="B333:B334"/>
    <mergeCell ref="B147:G147"/>
    <mergeCell ref="D139:F139"/>
    <mergeCell ref="C69:C70"/>
    <mergeCell ref="B354:G354"/>
    <mergeCell ref="C344:F344"/>
    <mergeCell ref="B340:B343"/>
    <mergeCell ref="C333:C334"/>
    <mergeCell ref="B330:G330"/>
    <mergeCell ref="B113:B130"/>
    <mergeCell ref="D145:F145"/>
    <mergeCell ref="B314:B325"/>
    <mergeCell ref="D131:F131"/>
    <mergeCell ref="B336:B338"/>
    <mergeCell ref="C113:C130"/>
    <mergeCell ref="B611:B630"/>
    <mergeCell ref="B431:B439"/>
    <mergeCell ref="C688:C691"/>
    <mergeCell ref="B672:G672"/>
    <mergeCell ref="C353:G353"/>
    <mergeCell ref="C632:C635"/>
    <mergeCell ref="B632:B635"/>
    <mergeCell ref="C441:C453"/>
    <mergeCell ref="B441:B453"/>
    <mergeCell ref="B688:B691"/>
    <mergeCell ref="C675:C677"/>
    <mergeCell ref="B675:B677"/>
    <mergeCell ref="C296:C310"/>
    <mergeCell ref="B296:B310"/>
    <mergeCell ref="B661:B664"/>
    <mergeCell ref="C637:F637"/>
    <mergeCell ref="B639:G639"/>
    <mergeCell ref="D399:F399"/>
    <mergeCell ref="C407:C415"/>
    <mergeCell ref="C431:C439"/>
    <mergeCell ref="B401:G401"/>
    <mergeCell ref="C403:C405"/>
    <mergeCell ref="B403:B405"/>
    <mergeCell ref="C356:C360"/>
    <mergeCell ref="B356:B360"/>
    <mergeCell ref="C340:C343"/>
    <mergeCell ref="C348:F348"/>
    <mergeCell ref="C346:F346"/>
    <mergeCell ref="B389:B396"/>
    <mergeCell ref="B352:G352"/>
    <mergeCell ref="B1:G1"/>
    <mergeCell ref="B2:G2"/>
    <mergeCell ref="C21:G21"/>
    <mergeCell ref="C30:G30"/>
    <mergeCell ref="C4:G4"/>
    <mergeCell ref="C311:F311"/>
    <mergeCell ref="C13:C18"/>
    <mergeCell ref="B13:B18"/>
    <mergeCell ref="B46:B53"/>
    <mergeCell ref="C39:C44"/>
    <mergeCell ref="C66:G66"/>
    <mergeCell ref="C73:G73"/>
    <mergeCell ref="B131:B138"/>
    <mergeCell ref="D112:F112"/>
    <mergeCell ref="C90:C111"/>
    <mergeCell ref="D71:F71"/>
    <mergeCell ref="B90:B111"/>
    <mergeCell ref="D89:F89"/>
    <mergeCell ref="B244:B294"/>
    <mergeCell ref="D8:F8"/>
    <mergeCell ref="B39:B44"/>
    <mergeCell ref="D45:F45"/>
    <mergeCell ref="C10:G10"/>
    <mergeCell ref="C24:C27"/>
    <mergeCell ref="B24:B27"/>
    <mergeCell ref="D28:F28"/>
    <mergeCell ref="D38:F38"/>
    <mergeCell ref="D19:F19"/>
    <mergeCell ref="C33:C37"/>
    <mergeCell ref="C460:C502"/>
    <mergeCell ref="B460:B502"/>
    <mergeCell ref="C76:C87"/>
    <mergeCell ref="B76:B87"/>
    <mergeCell ref="B69:B70"/>
    <mergeCell ref="C314:C325"/>
    <mergeCell ref="C150:C194"/>
    <mergeCell ref="C336:C338"/>
    <mergeCell ref="B328:F328"/>
    <mergeCell ref="C312:F312"/>
    <mergeCell ref="C46:C53"/>
    <mergeCell ref="C140:C143"/>
    <mergeCell ref="B140:B143"/>
    <mergeCell ref="B33:B37"/>
    <mergeCell ref="D54:F54"/>
    <mergeCell ref="B57:B62"/>
    <mergeCell ref="C57:C62"/>
    <mergeCell ref="C132:C138"/>
    <mergeCell ref="D63:F63"/>
    <mergeCell ref="C362:C369"/>
    <mergeCell ref="B362:B369"/>
    <mergeCell ref="C376:C387"/>
    <mergeCell ref="C679:C684"/>
    <mergeCell ref="C661:C664"/>
    <mergeCell ref="B3:G3"/>
    <mergeCell ref="C196:C242"/>
    <mergeCell ref="D64:F64"/>
    <mergeCell ref="B196:B242"/>
    <mergeCell ref="D56:F56"/>
    <mergeCell ref="B376:B387"/>
    <mergeCell ref="B679:B684"/>
    <mergeCell ref="C700:F700"/>
    <mergeCell ref="B655:B659"/>
    <mergeCell ref="C655:C659"/>
    <mergeCell ref="B673:G673"/>
    <mergeCell ref="C642:C648"/>
    <mergeCell ref="C555:C609"/>
    <mergeCell ref="C457:G457"/>
    <mergeCell ref="B407:B415"/>
    <mergeCell ref="B642:B648"/>
    <mergeCell ref="C611:C630"/>
    <mergeCell ref="C702:F702"/>
    <mergeCell ref="C339:F339"/>
    <mergeCell ref="C350:F350"/>
    <mergeCell ref="D670:F670"/>
    <mergeCell ref="B555:B609"/>
    <mergeCell ref="C389:C396"/>
    <mergeCell ref="C693:C698"/>
    <mergeCell ref="B693:B698"/>
    <mergeCell ref="C417:C429"/>
    <mergeCell ref="B417:B429"/>
    <mergeCell ref="C244:C294"/>
    <mergeCell ref="B150:B194"/>
    <mergeCell ref="C666:C668"/>
    <mergeCell ref="B504:B553"/>
    <mergeCell ref="C650:C653"/>
    <mergeCell ref="C504:C553"/>
    <mergeCell ref="B650:B653"/>
    <mergeCell ref="B666:B668"/>
  </mergeCells>
  <printOptions/>
  <pageMargins left="1.3385826771653544" right="1.141732283464567" top="0.4724409448818898" bottom="0.7874015748031497" header="0.2755905511811024" footer="0.3937007874015748"/>
  <pageSetup fitToWidth="10" horizontalDpi="600" verticalDpi="600" orientation="landscape" paperSize="9" scale="73" r:id="rId1"/>
  <rowBreaks count="17" manualBreakCount="17">
    <brk id="28" min="1" max="6" man="1"/>
    <brk id="64" min="1" max="6" man="1"/>
    <brk id="102" min="1" max="6" man="1"/>
    <brk id="145" min="1" max="6" man="1"/>
    <brk id="184" min="1" max="6" man="1"/>
    <brk id="223" min="1" max="6" man="1"/>
    <brk id="265" min="1" max="6" man="1"/>
    <brk id="303" min="1" max="6" man="1"/>
    <brk id="328" min="1" max="6" man="1"/>
    <brk id="350" min="1" max="6" man="1"/>
    <brk id="399" min="1" max="6" man="1"/>
    <brk id="455" min="1" max="6" man="1"/>
    <brk id="497" min="1" max="6" man="1"/>
    <brk id="536" min="1" max="6" man="1"/>
    <brk id="602" min="1" max="6" man="1"/>
    <brk id="637" min="1" max="6" man="1"/>
    <brk id="670" min="1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S1521"/>
  <sheetViews>
    <sheetView view="pageBreakPreview" zoomScaleSheetLayoutView="100" zoomScalePageLayoutView="0" workbookViewId="0" topLeftCell="A1017">
      <selection activeCell="Q1025" sqref="Q1025"/>
    </sheetView>
  </sheetViews>
  <sheetFormatPr defaultColWidth="9.140625" defaultRowHeight="15" customHeight="1"/>
  <cols>
    <col min="1" max="1" width="5.8515625" style="485" bestFit="1" customWidth="1"/>
    <col min="2" max="2" width="3.421875" style="485" bestFit="1" customWidth="1"/>
    <col min="3" max="3" width="10.00390625" style="513" bestFit="1" customWidth="1"/>
    <col min="4" max="4" width="83.140625" style="485" bestFit="1" customWidth="1"/>
    <col min="5" max="5" width="17.00390625" style="463" bestFit="1" customWidth="1"/>
    <col min="6" max="6" width="16.140625" style="616" hidden="1" customWidth="1"/>
    <col min="7" max="7" width="14.28125" style="616" hidden="1" customWidth="1"/>
    <col min="8" max="8" width="16.8515625" style="616" hidden="1" customWidth="1"/>
    <col min="9" max="9" width="14.00390625" style="616" hidden="1" customWidth="1"/>
    <col min="10" max="10" width="13.57421875" style="616" hidden="1" customWidth="1"/>
    <col min="11" max="11" width="17.8515625" style="616" hidden="1" customWidth="1"/>
    <col min="12" max="12" width="13.8515625" style="616" hidden="1" customWidth="1"/>
    <col min="13" max="13" width="15.00390625" style="616" hidden="1" customWidth="1"/>
    <col min="14" max="14" width="0" style="485" hidden="1" customWidth="1"/>
    <col min="15" max="15" width="12.57421875" style="485" bestFit="1" customWidth="1"/>
    <col min="16" max="18" width="9.140625" style="485" customWidth="1"/>
    <col min="19" max="19" width="16.140625" style="485" bestFit="1" customWidth="1"/>
    <col min="20" max="16384" width="9.140625" style="485" customWidth="1"/>
  </cols>
  <sheetData>
    <row r="1" spans="1:5" ht="15" customHeight="1">
      <c r="A1" s="1356" t="s">
        <v>1120</v>
      </c>
      <c r="B1" s="1357"/>
      <c r="C1" s="1357"/>
      <c r="D1" s="1357"/>
      <c r="E1" s="1357"/>
    </row>
    <row r="2" spans="1:5" ht="15" customHeight="1">
      <c r="A2" s="1353" t="s">
        <v>1431</v>
      </c>
      <c r="B2" s="1354"/>
      <c r="C2" s="1354"/>
      <c r="D2" s="1354"/>
      <c r="E2" s="1354"/>
    </row>
    <row r="3" spans="1:5" ht="15" customHeight="1">
      <c r="A3" s="1358" t="s">
        <v>1241</v>
      </c>
      <c r="B3" s="1359"/>
      <c r="C3" s="1359"/>
      <c r="D3" s="1359"/>
      <c r="E3" s="1359"/>
    </row>
    <row r="4" spans="1:5" ht="31.5">
      <c r="A4" s="1347" t="s">
        <v>1122</v>
      </c>
      <c r="B4" s="1345"/>
      <c r="C4" s="478" t="s">
        <v>998</v>
      </c>
      <c r="D4" s="486" t="s">
        <v>997</v>
      </c>
      <c r="E4" s="506" t="s">
        <v>1432</v>
      </c>
    </row>
    <row r="5" spans="1:5" ht="15.75">
      <c r="A5" s="1347"/>
      <c r="B5" s="1345"/>
      <c r="C5" s="514">
        <v>2110100</v>
      </c>
      <c r="D5" s="486" t="s">
        <v>999</v>
      </c>
      <c r="E5" s="462">
        <f>E6+E7+E8</f>
        <v>163739142</v>
      </c>
    </row>
    <row r="6" spans="1:5" ht="15" customHeight="1">
      <c r="A6" s="467"/>
      <c r="B6" s="467" t="s">
        <v>1123</v>
      </c>
      <c r="C6" s="460">
        <v>2110116</v>
      </c>
      <c r="D6" s="487" t="s">
        <v>1000</v>
      </c>
      <c r="E6" s="461">
        <f>114928927+48810215</f>
        <v>163739142</v>
      </c>
    </row>
    <row r="7" spans="1:5" ht="15" customHeight="1">
      <c r="A7" s="465"/>
      <c r="B7" s="465"/>
      <c r="C7" s="460">
        <v>2110200</v>
      </c>
      <c r="D7" s="486" t="s">
        <v>1001</v>
      </c>
      <c r="E7" s="462">
        <v>0</v>
      </c>
    </row>
    <row r="8" spans="1:5" ht="15" customHeight="1">
      <c r="A8" s="465"/>
      <c r="B8" s="465"/>
      <c r="C8" s="459">
        <v>2110201</v>
      </c>
      <c r="D8" s="487" t="s">
        <v>1002</v>
      </c>
      <c r="E8" s="461">
        <v>0</v>
      </c>
    </row>
    <row r="9" spans="1:5" ht="15" customHeight="1">
      <c r="A9" s="465"/>
      <c r="B9" s="465"/>
      <c r="C9" s="460">
        <v>2110300</v>
      </c>
      <c r="D9" s="486" t="s">
        <v>1003</v>
      </c>
      <c r="E9" s="462">
        <f>E10+E11+E12+E13+E14+E15+E16+E17</f>
        <v>40822525.8</v>
      </c>
    </row>
    <row r="10" spans="1:5" ht="15" customHeight="1">
      <c r="A10" s="465"/>
      <c r="B10" s="465"/>
      <c r="C10" s="459">
        <v>2110301</v>
      </c>
      <c r="D10" s="487" t="s">
        <v>1004</v>
      </c>
      <c r="E10" s="461">
        <v>15002880</v>
      </c>
    </row>
    <row r="11" spans="1:5" ht="15" customHeight="1">
      <c r="A11" s="465"/>
      <c r="B11" s="465"/>
      <c r="C11" s="459">
        <v>2110302</v>
      </c>
      <c r="D11" s="487" t="s">
        <v>1005</v>
      </c>
      <c r="E11" s="461">
        <v>0</v>
      </c>
    </row>
    <row r="12" spans="1:5" ht="15" customHeight="1">
      <c r="A12" s="465"/>
      <c r="B12" s="465"/>
      <c r="C12" s="459">
        <v>2110303</v>
      </c>
      <c r="D12" s="487" t="s">
        <v>1006</v>
      </c>
      <c r="E12" s="461">
        <v>0</v>
      </c>
    </row>
    <row r="13" spans="1:5" ht="15" customHeight="1">
      <c r="A13" s="465"/>
      <c r="B13" s="465"/>
      <c r="C13" s="459">
        <v>2110314</v>
      </c>
      <c r="D13" s="487" t="s">
        <v>1007</v>
      </c>
      <c r="E13" s="466">
        <v>25267445.8</v>
      </c>
    </row>
    <row r="14" spans="1:5" ht="15" customHeight="1">
      <c r="A14" s="465"/>
      <c r="B14" s="465"/>
      <c r="C14" s="459">
        <v>2110320</v>
      </c>
      <c r="D14" s="487" t="s">
        <v>1008</v>
      </c>
      <c r="E14" s="461">
        <v>552200</v>
      </c>
    </row>
    <row r="15" spans="1:5" ht="15" customHeight="1">
      <c r="A15" s="465"/>
      <c r="B15" s="465"/>
      <c r="C15" s="459">
        <v>2110321</v>
      </c>
      <c r="D15" s="487" t="s">
        <v>1009</v>
      </c>
      <c r="E15" s="461">
        <v>0</v>
      </c>
    </row>
    <row r="16" spans="1:5" ht="15" customHeight="1">
      <c r="A16" s="465"/>
      <c r="B16" s="465"/>
      <c r="C16" s="459">
        <v>2110322</v>
      </c>
      <c r="D16" s="487" t="s">
        <v>1010</v>
      </c>
      <c r="E16" s="461">
        <v>0</v>
      </c>
    </row>
    <row r="17" spans="1:5" ht="15" customHeight="1">
      <c r="A17" s="465"/>
      <c r="B17" s="465"/>
      <c r="C17" s="459">
        <v>2110323</v>
      </c>
      <c r="D17" s="487" t="s">
        <v>1011</v>
      </c>
      <c r="E17" s="461">
        <v>0</v>
      </c>
    </row>
    <row r="18" spans="1:5" ht="15" customHeight="1">
      <c r="A18" s="465"/>
      <c r="B18" s="465"/>
      <c r="C18" s="460">
        <v>2120100</v>
      </c>
      <c r="D18" s="488" t="s">
        <v>1012</v>
      </c>
      <c r="E18" s="462">
        <f>E19+E20</f>
        <v>4100000</v>
      </c>
    </row>
    <row r="19" spans="1:5" ht="15" customHeight="1">
      <c r="A19" s="465"/>
      <c r="B19" s="465"/>
      <c r="C19" s="459">
        <v>2120101</v>
      </c>
      <c r="D19" s="487" t="s">
        <v>1013</v>
      </c>
      <c r="E19" s="461">
        <v>0</v>
      </c>
    </row>
    <row r="20" spans="1:5" ht="15" customHeight="1">
      <c r="A20" s="465"/>
      <c r="B20" s="465"/>
      <c r="C20" s="459">
        <v>2120103</v>
      </c>
      <c r="D20" s="487" t="s">
        <v>1014</v>
      </c>
      <c r="E20" s="461">
        <v>4100000</v>
      </c>
    </row>
    <row r="21" spans="1:5" ht="15" customHeight="1">
      <c r="A21" s="465"/>
      <c r="B21" s="465"/>
      <c r="C21" s="460">
        <v>2210100</v>
      </c>
      <c r="D21" s="486" t="s">
        <v>1015</v>
      </c>
      <c r="E21" s="462">
        <f>E22+E23+E24</f>
        <v>3000000</v>
      </c>
    </row>
    <row r="22" spans="1:5" ht="15" customHeight="1">
      <c r="A22" s="465"/>
      <c r="B22" s="465"/>
      <c r="C22" s="459">
        <v>2210101</v>
      </c>
      <c r="D22" s="487" t="s">
        <v>1016</v>
      </c>
      <c r="E22" s="461">
        <v>500000</v>
      </c>
    </row>
    <row r="23" spans="1:5" ht="15" customHeight="1">
      <c r="A23" s="465"/>
      <c r="B23" s="465"/>
      <c r="C23" s="459">
        <v>2210102</v>
      </c>
      <c r="D23" s="487" t="s">
        <v>1017</v>
      </c>
      <c r="E23" s="461">
        <v>1500000</v>
      </c>
    </row>
    <row r="24" spans="1:5" ht="15" customHeight="1">
      <c r="A24" s="465"/>
      <c r="B24" s="465"/>
      <c r="C24" s="459">
        <v>2210106</v>
      </c>
      <c r="D24" s="487" t="s">
        <v>1018</v>
      </c>
      <c r="E24" s="461">
        <v>1000000</v>
      </c>
    </row>
    <row r="25" spans="1:5" ht="15" customHeight="1">
      <c r="A25" s="465"/>
      <c r="B25" s="465"/>
      <c r="C25" s="460">
        <v>2210200</v>
      </c>
      <c r="D25" s="486" t="s">
        <v>1019</v>
      </c>
      <c r="E25" s="462">
        <f>E26+E27+E28</f>
        <v>7948547.2</v>
      </c>
    </row>
    <row r="26" spans="1:5" ht="15" customHeight="1">
      <c r="A26" s="465"/>
      <c r="B26" s="465"/>
      <c r="C26" s="459">
        <v>2210201</v>
      </c>
      <c r="D26" s="487" t="s">
        <v>1020</v>
      </c>
      <c r="E26" s="461">
        <v>1948547.2</v>
      </c>
    </row>
    <row r="27" spans="1:5" ht="15" customHeight="1">
      <c r="A27" s="465"/>
      <c r="B27" s="465"/>
      <c r="C27" s="459">
        <v>2210202</v>
      </c>
      <c r="D27" s="487" t="s">
        <v>1021</v>
      </c>
      <c r="E27" s="461">
        <v>6000000</v>
      </c>
    </row>
    <row r="28" spans="1:5" ht="15" customHeight="1">
      <c r="A28" s="465"/>
      <c r="B28" s="465"/>
      <c r="C28" s="459">
        <v>2210206</v>
      </c>
      <c r="D28" s="487" t="s">
        <v>1022</v>
      </c>
      <c r="E28" s="461">
        <v>0</v>
      </c>
    </row>
    <row r="29" spans="1:5" ht="15" customHeight="1">
      <c r="A29" s="465"/>
      <c r="B29" s="465"/>
      <c r="C29" s="460">
        <v>2210300</v>
      </c>
      <c r="D29" s="486" t="s">
        <v>1023</v>
      </c>
      <c r="E29" s="462">
        <f>E30+E31+E32</f>
        <v>90000000</v>
      </c>
    </row>
    <row r="30" spans="1:5" ht="15" customHeight="1">
      <c r="A30" s="465"/>
      <c r="B30" s="465"/>
      <c r="C30" s="459">
        <v>2210301</v>
      </c>
      <c r="D30" s="487" t="s">
        <v>1024</v>
      </c>
      <c r="E30" s="461">
        <v>50000000</v>
      </c>
    </row>
    <row r="31" spans="1:5" ht="15" customHeight="1">
      <c r="A31" s="465"/>
      <c r="B31" s="465"/>
      <c r="C31" s="459">
        <v>2210302</v>
      </c>
      <c r="D31" s="487" t="s">
        <v>1025</v>
      </c>
      <c r="E31" s="959">
        <v>30000000</v>
      </c>
    </row>
    <row r="32" spans="1:5" ht="15" customHeight="1">
      <c r="A32" s="465"/>
      <c r="B32" s="465"/>
      <c r="C32" s="459">
        <v>2210303</v>
      </c>
      <c r="D32" s="487" t="s">
        <v>1026</v>
      </c>
      <c r="E32" s="461">
        <v>10000000</v>
      </c>
    </row>
    <row r="33" spans="1:5" ht="15" customHeight="1">
      <c r="A33" s="465"/>
      <c r="B33" s="465"/>
      <c r="C33" s="460">
        <v>2210400</v>
      </c>
      <c r="D33" s="486" t="s">
        <v>1027</v>
      </c>
      <c r="E33" s="462">
        <f>E34+E36</f>
        <v>15000000</v>
      </c>
    </row>
    <row r="34" spans="1:5" ht="15" customHeight="1">
      <c r="A34" s="465"/>
      <c r="B34" s="465"/>
      <c r="C34" s="459">
        <v>2210401</v>
      </c>
      <c r="D34" s="487" t="s">
        <v>1024</v>
      </c>
      <c r="E34" s="461">
        <v>2500000</v>
      </c>
    </row>
    <row r="35" spans="1:5" ht="15" customHeight="1">
      <c r="A35" s="465"/>
      <c r="B35" s="465"/>
      <c r="C35" s="459">
        <v>2210402</v>
      </c>
      <c r="D35" s="487" t="s">
        <v>1025</v>
      </c>
      <c r="E35" s="461">
        <v>0</v>
      </c>
    </row>
    <row r="36" spans="1:5" ht="15" customHeight="1">
      <c r="A36" s="465"/>
      <c r="B36" s="465"/>
      <c r="C36" s="459">
        <v>2210403</v>
      </c>
      <c r="D36" s="487" t="s">
        <v>1026</v>
      </c>
      <c r="E36" s="461">
        <v>12500000</v>
      </c>
    </row>
    <row r="37" spans="1:5" ht="15" customHeight="1">
      <c r="A37" s="465"/>
      <c r="B37" s="465"/>
      <c r="C37" s="459">
        <v>2210404</v>
      </c>
      <c r="D37" s="487" t="s">
        <v>1028</v>
      </c>
      <c r="E37" s="466"/>
    </row>
    <row r="38" spans="1:5" ht="15" customHeight="1">
      <c r="A38" s="465"/>
      <c r="B38" s="465"/>
      <c r="C38" s="460">
        <v>2210500</v>
      </c>
      <c r="D38" s="486" t="s">
        <v>1029</v>
      </c>
      <c r="E38" s="462">
        <f>E39+E40+E41+E42+E43</f>
        <v>14000000</v>
      </c>
    </row>
    <row r="39" spans="1:5" ht="15" customHeight="1">
      <c r="A39" s="465"/>
      <c r="B39" s="465"/>
      <c r="C39" s="459">
        <v>2210502</v>
      </c>
      <c r="D39" s="487" t="s">
        <v>1030</v>
      </c>
      <c r="E39" s="461">
        <v>5700000</v>
      </c>
    </row>
    <row r="40" spans="1:5" ht="15" customHeight="1">
      <c r="A40" s="465"/>
      <c r="B40" s="465"/>
      <c r="C40" s="459">
        <v>2210503</v>
      </c>
      <c r="D40" s="487" t="s">
        <v>1031</v>
      </c>
      <c r="E40" s="461">
        <v>300000</v>
      </c>
    </row>
    <row r="41" spans="1:5" ht="15" customHeight="1">
      <c r="A41" s="465"/>
      <c r="B41" s="465"/>
      <c r="C41" s="459">
        <v>2210504</v>
      </c>
      <c r="D41" s="487" t="s">
        <v>1032</v>
      </c>
      <c r="E41" s="461">
        <v>1200000</v>
      </c>
    </row>
    <row r="42" spans="1:5" ht="15" customHeight="1">
      <c r="A42" s="465"/>
      <c r="B42" s="465"/>
      <c r="C42" s="459">
        <v>2210505</v>
      </c>
      <c r="D42" s="487" t="s">
        <v>1033</v>
      </c>
      <c r="E42" s="461"/>
    </row>
    <row r="43" spans="1:5" ht="15" customHeight="1">
      <c r="A43" s="465"/>
      <c r="B43" s="465"/>
      <c r="C43" s="459">
        <v>2210599</v>
      </c>
      <c r="D43" s="487" t="s">
        <v>1034</v>
      </c>
      <c r="E43" s="959">
        <f>6800000</f>
        <v>6800000</v>
      </c>
    </row>
    <row r="44" spans="1:5" ht="15" customHeight="1">
      <c r="A44" s="465"/>
      <c r="B44" s="465"/>
      <c r="C44" s="460">
        <v>2210600</v>
      </c>
      <c r="D44" s="486" t="s">
        <v>1035</v>
      </c>
      <c r="E44" s="462">
        <f>E45+E46+E47</f>
        <v>9000000</v>
      </c>
    </row>
    <row r="45" spans="1:5" ht="15" customHeight="1">
      <c r="A45" s="465"/>
      <c r="B45" s="465"/>
      <c r="C45" s="459">
        <v>2210602</v>
      </c>
      <c r="D45" s="487" t="s">
        <v>1036</v>
      </c>
      <c r="E45" s="461">
        <v>1000000</v>
      </c>
    </row>
    <row r="46" spans="1:5" ht="15" customHeight="1">
      <c r="A46" s="465"/>
      <c r="B46" s="465"/>
      <c r="C46" s="459">
        <v>2210603</v>
      </c>
      <c r="D46" s="487" t="s">
        <v>1037</v>
      </c>
      <c r="E46" s="461"/>
    </row>
    <row r="47" spans="1:5" ht="15" customHeight="1">
      <c r="A47" s="465"/>
      <c r="B47" s="465"/>
      <c r="C47" s="459">
        <v>2210604</v>
      </c>
      <c r="D47" s="487" t="s">
        <v>1038</v>
      </c>
      <c r="E47" s="461">
        <v>8000000</v>
      </c>
    </row>
    <row r="48" spans="1:5" ht="15" customHeight="1">
      <c r="A48" s="465"/>
      <c r="B48" s="465"/>
      <c r="C48" s="460">
        <v>2210700</v>
      </c>
      <c r="D48" s="486" t="s">
        <v>1039</v>
      </c>
      <c r="E48" s="462">
        <f>E49+E50+E51+E52+E53+E54+E55+E56+E57</f>
        <v>19950000</v>
      </c>
    </row>
    <row r="49" spans="1:5" ht="15" customHeight="1">
      <c r="A49" s="465"/>
      <c r="B49" s="465"/>
      <c r="C49" s="459">
        <v>2210701</v>
      </c>
      <c r="D49" s="487" t="s">
        <v>1040</v>
      </c>
      <c r="E49" s="461">
        <v>0</v>
      </c>
    </row>
    <row r="50" spans="1:5" ht="15" customHeight="1">
      <c r="A50" s="465"/>
      <c r="B50" s="465"/>
      <c r="C50" s="459">
        <v>2210702</v>
      </c>
      <c r="D50" s="487" t="s">
        <v>1041</v>
      </c>
      <c r="E50" s="461">
        <v>0</v>
      </c>
    </row>
    <row r="51" spans="1:5" ht="15" customHeight="1">
      <c r="A51" s="465"/>
      <c r="B51" s="465"/>
      <c r="C51" s="459">
        <v>2210703</v>
      </c>
      <c r="D51" s="487" t="s">
        <v>1042</v>
      </c>
      <c r="E51" s="461">
        <v>0</v>
      </c>
    </row>
    <row r="52" spans="1:5" ht="15" customHeight="1">
      <c r="A52" s="465"/>
      <c r="B52" s="465"/>
      <c r="C52" s="459">
        <v>2210704</v>
      </c>
      <c r="D52" s="487" t="s">
        <v>1043</v>
      </c>
      <c r="E52" s="461"/>
    </row>
    <row r="53" spans="1:5" ht="15" customHeight="1">
      <c r="A53" s="465"/>
      <c r="B53" s="465"/>
      <c r="C53" s="459">
        <v>2210710</v>
      </c>
      <c r="D53" s="487" t="s">
        <v>1044</v>
      </c>
      <c r="E53" s="461">
        <v>2950000</v>
      </c>
    </row>
    <row r="54" spans="1:5" ht="15" customHeight="1">
      <c r="A54" s="465"/>
      <c r="B54" s="465"/>
      <c r="C54" s="459">
        <v>2210711</v>
      </c>
      <c r="D54" s="487" t="s">
        <v>1045</v>
      </c>
      <c r="E54" s="461">
        <v>1000000</v>
      </c>
    </row>
    <row r="55" spans="1:5" ht="15" customHeight="1">
      <c r="A55" s="465"/>
      <c r="B55" s="465"/>
      <c r="C55" s="459">
        <v>2210713</v>
      </c>
      <c r="D55" s="487" t="s">
        <v>1046</v>
      </c>
      <c r="E55" s="461"/>
    </row>
    <row r="56" spans="1:5" ht="15" customHeight="1">
      <c r="A56" s="465"/>
      <c r="B56" s="465"/>
      <c r="C56" s="459">
        <v>2210716</v>
      </c>
      <c r="D56" s="487" t="s">
        <v>1047</v>
      </c>
      <c r="E56" s="461"/>
    </row>
    <row r="57" spans="1:5" ht="15" customHeight="1">
      <c r="A57" s="465"/>
      <c r="B57" s="465"/>
      <c r="C57" s="459">
        <v>2210799</v>
      </c>
      <c r="D57" s="487" t="s">
        <v>1039</v>
      </c>
      <c r="E57" s="461">
        <v>16000000</v>
      </c>
    </row>
    <row r="58" spans="1:5" ht="15" customHeight="1">
      <c r="A58" s="465"/>
      <c r="B58" s="465"/>
      <c r="C58" s="460">
        <v>2210800</v>
      </c>
      <c r="D58" s="486" t="s">
        <v>1049</v>
      </c>
      <c r="E58" s="462">
        <f>E59+E60</f>
        <v>51000000</v>
      </c>
    </row>
    <row r="59" spans="1:5" ht="15" customHeight="1">
      <c r="A59" s="465"/>
      <c r="B59" s="465"/>
      <c r="C59" s="459">
        <v>2210801</v>
      </c>
      <c r="D59" s="487" t="s">
        <v>1050</v>
      </c>
      <c r="E59" s="959">
        <f>11000000</f>
        <v>11000000</v>
      </c>
    </row>
    <row r="60" spans="1:5" ht="15" customHeight="1">
      <c r="A60" s="465"/>
      <c r="B60" s="465"/>
      <c r="C60" s="459">
        <v>2210802</v>
      </c>
      <c r="D60" s="487" t="s">
        <v>1051</v>
      </c>
      <c r="E60" s="983">
        <v>40000000</v>
      </c>
    </row>
    <row r="61" spans="1:5" ht="15" customHeight="1">
      <c r="A61" s="465"/>
      <c r="B61" s="465"/>
      <c r="C61" s="460">
        <v>2210900</v>
      </c>
      <c r="D61" s="486" t="s">
        <v>1052</v>
      </c>
      <c r="E61" s="462">
        <f>E62+E63+E64+E65+E66+E67+E68+E69+E70+E71+E72+E73+E74+E75</f>
        <v>19000000</v>
      </c>
    </row>
    <row r="62" spans="1:5" ht="15" customHeight="1">
      <c r="A62" s="465"/>
      <c r="B62" s="465"/>
      <c r="C62" s="459">
        <v>2210901</v>
      </c>
      <c r="D62" s="487" t="s">
        <v>1053</v>
      </c>
      <c r="E62" s="461">
        <v>5000000</v>
      </c>
    </row>
    <row r="63" spans="1:5" ht="15" customHeight="1">
      <c r="A63" s="465"/>
      <c r="B63" s="465"/>
      <c r="C63" s="459">
        <v>2210902</v>
      </c>
      <c r="D63" s="487" t="s">
        <v>1054</v>
      </c>
      <c r="E63" s="461">
        <v>0</v>
      </c>
    </row>
    <row r="64" spans="1:5" ht="15" customHeight="1">
      <c r="A64" s="465"/>
      <c r="B64" s="465"/>
      <c r="C64" s="459">
        <v>2210904</v>
      </c>
      <c r="D64" s="487" t="s">
        <v>1055</v>
      </c>
      <c r="E64" s="461">
        <v>2000000</v>
      </c>
    </row>
    <row r="65" spans="1:5" ht="15" customHeight="1">
      <c r="A65" s="465"/>
      <c r="B65" s="465"/>
      <c r="C65" s="459">
        <v>2210910</v>
      </c>
      <c r="D65" s="487" t="s">
        <v>1056</v>
      </c>
      <c r="E65" s="461">
        <v>12000000</v>
      </c>
    </row>
    <row r="66" spans="1:5" ht="15" customHeight="1">
      <c r="A66" s="465"/>
      <c r="B66" s="465"/>
      <c r="C66" s="460">
        <v>2211000</v>
      </c>
      <c r="D66" s="486" t="s">
        <v>1057</v>
      </c>
      <c r="E66" s="462">
        <v>0</v>
      </c>
    </row>
    <row r="67" spans="1:5" ht="15" customHeight="1">
      <c r="A67" s="465"/>
      <c r="B67" s="465"/>
      <c r="C67" s="459">
        <v>2211001</v>
      </c>
      <c r="D67" s="487" t="s">
        <v>1058</v>
      </c>
      <c r="E67" s="462"/>
    </row>
    <row r="68" spans="1:5" ht="15" customHeight="1">
      <c r="A68" s="465"/>
      <c r="B68" s="465"/>
      <c r="C68" s="459">
        <v>2211003</v>
      </c>
      <c r="D68" s="487" t="s">
        <v>1059</v>
      </c>
      <c r="E68" s="462"/>
    </row>
    <row r="69" spans="1:5" ht="15" customHeight="1">
      <c r="A69" s="465"/>
      <c r="B69" s="465"/>
      <c r="C69" s="459">
        <v>2211004</v>
      </c>
      <c r="D69" s="487" t="s">
        <v>1060</v>
      </c>
      <c r="E69" s="462"/>
    </row>
    <row r="70" spans="1:5" ht="15" customHeight="1">
      <c r="A70" s="465"/>
      <c r="B70" s="465"/>
      <c r="C70" s="459">
        <v>2211006</v>
      </c>
      <c r="D70" s="487" t="s">
        <v>1061</v>
      </c>
      <c r="E70" s="461"/>
    </row>
    <row r="71" spans="1:5" ht="15" customHeight="1">
      <c r="A71" s="465"/>
      <c r="B71" s="465"/>
      <c r="C71" s="459">
        <v>2211007</v>
      </c>
      <c r="D71" s="487" t="s">
        <v>1062</v>
      </c>
      <c r="E71" s="461"/>
    </row>
    <row r="72" spans="1:5" ht="15" customHeight="1">
      <c r="A72" s="465"/>
      <c r="B72" s="465"/>
      <c r="C72" s="459">
        <v>2211015</v>
      </c>
      <c r="D72" s="487" t="s">
        <v>1063</v>
      </c>
      <c r="E72" s="461"/>
    </row>
    <row r="73" spans="1:5" ht="15" customHeight="1">
      <c r="A73" s="465"/>
      <c r="B73" s="465"/>
      <c r="C73" s="459">
        <v>2211016</v>
      </c>
      <c r="D73" s="487" t="s">
        <v>1064</v>
      </c>
      <c r="E73" s="461"/>
    </row>
    <row r="74" spans="1:5" ht="15" customHeight="1">
      <c r="A74" s="465"/>
      <c r="B74" s="465"/>
      <c r="C74" s="459">
        <v>2211023</v>
      </c>
      <c r="D74" s="487" t="s">
        <v>1065</v>
      </c>
      <c r="E74" s="461"/>
    </row>
    <row r="75" spans="1:5" ht="15" customHeight="1">
      <c r="A75" s="465"/>
      <c r="B75" s="465"/>
      <c r="C75" s="459">
        <v>2211026</v>
      </c>
      <c r="D75" s="487" t="s">
        <v>1066</v>
      </c>
      <c r="E75" s="461"/>
    </row>
    <row r="76" spans="1:5" ht="15" customHeight="1">
      <c r="A76" s="465"/>
      <c r="B76" s="465"/>
      <c r="C76" s="460">
        <v>2211100</v>
      </c>
      <c r="D76" s="486" t="s">
        <v>1067</v>
      </c>
      <c r="E76" s="462">
        <f>E77+E78+E79</f>
        <v>19250000</v>
      </c>
    </row>
    <row r="77" spans="1:5" ht="15" customHeight="1">
      <c r="A77" s="465"/>
      <c r="B77" s="465"/>
      <c r="C77" s="459">
        <v>2211101</v>
      </c>
      <c r="D77" s="465" t="s">
        <v>1068</v>
      </c>
      <c r="E77" s="461">
        <v>8000000</v>
      </c>
    </row>
    <row r="78" spans="1:5" ht="15" customHeight="1">
      <c r="A78" s="465"/>
      <c r="B78" s="465"/>
      <c r="C78" s="459">
        <v>2211102</v>
      </c>
      <c r="D78" s="487" t="s">
        <v>1069</v>
      </c>
      <c r="E78" s="959">
        <f>8250000</f>
        <v>8250000</v>
      </c>
    </row>
    <row r="79" spans="1:5" ht="15" customHeight="1">
      <c r="A79" s="465"/>
      <c r="B79" s="465"/>
      <c r="C79" s="459">
        <v>2211103</v>
      </c>
      <c r="D79" s="487" t="s">
        <v>1070</v>
      </c>
      <c r="E79" s="461">
        <v>3000000</v>
      </c>
    </row>
    <row r="80" spans="1:5" ht="15" customHeight="1">
      <c r="A80" s="465"/>
      <c r="B80" s="465"/>
      <c r="C80" s="460">
        <v>2211200</v>
      </c>
      <c r="D80" s="486" t="s">
        <v>1071</v>
      </c>
      <c r="E80" s="462">
        <f>E81+E82</f>
        <v>9000000</v>
      </c>
    </row>
    <row r="81" spans="1:5" ht="15" customHeight="1">
      <c r="A81" s="465"/>
      <c r="B81" s="465"/>
      <c r="C81" s="459">
        <v>2211201</v>
      </c>
      <c r="D81" s="487" t="s">
        <v>1072</v>
      </c>
      <c r="E81" s="461">
        <v>9000000</v>
      </c>
    </row>
    <row r="82" spans="1:5" ht="15" customHeight="1">
      <c r="A82" s="465"/>
      <c r="B82" s="465"/>
      <c r="C82" s="459">
        <v>2211201</v>
      </c>
      <c r="D82" s="487" t="s">
        <v>1073</v>
      </c>
      <c r="E82" s="461"/>
    </row>
    <row r="83" spans="1:5" ht="15" customHeight="1">
      <c r="A83" s="465"/>
      <c r="B83" s="465"/>
      <c r="C83" s="460">
        <v>2211300</v>
      </c>
      <c r="D83" s="486" t="s">
        <v>1074</v>
      </c>
      <c r="E83" s="462">
        <f>E84+E85+E86+E87+E88+E93</f>
        <v>37500000</v>
      </c>
    </row>
    <row r="84" spans="1:5" ht="15" customHeight="1">
      <c r="A84" s="465"/>
      <c r="B84" s="465"/>
      <c r="C84" s="477">
        <v>2211301</v>
      </c>
      <c r="D84" s="487" t="s">
        <v>1075</v>
      </c>
      <c r="E84" s="461">
        <v>100000</v>
      </c>
    </row>
    <row r="85" spans="1:5" ht="15" customHeight="1">
      <c r="A85" s="465"/>
      <c r="B85" s="465"/>
      <c r="C85" s="477">
        <v>2211304</v>
      </c>
      <c r="D85" s="487" t="s">
        <v>1076</v>
      </c>
      <c r="E85" s="461">
        <v>0</v>
      </c>
    </row>
    <row r="86" spans="1:5" ht="15" customHeight="1">
      <c r="A86" s="465"/>
      <c r="B86" s="465"/>
      <c r="C86" s="477">
        <v>2211308</v>
      </c>
      <c r="D86" s="487" t="s">
        <v>1077</v>
      </c>
      <c r="E86" s="461">
        <v>6400000</v>
      </c>
    </row>
    <row r="87" spans="1:5" ht="15" customHeight="1">
      <c r="A87" s="465"/>
      <c r="B87" s="465"/>
      <c r="C87" s="477">
        <v>2211309</v>
      </c>
      <c r="D87" s="487" t="s">
        <v>1078</v>
      </c>
      <c r="E87" s="461">
        <v>0</v>
      </c>
    </row>
    <row r="88" spans="1:5" ht="15" customHeight="1">
      <c r="A88" s="465"/>
      <c r="B88" s="465"/>
      <c r="C88" s="477">
        <v>2211310</v>
      </c>
      <c r="D88" s="487" t="s">
        <v>1079</v>
      </c>
      <c r="E88" s="959">
        <f>7000000</f>
        <v>7000000</v>
      </c>
    </row>
    <row r="89" spans="1:5" ht="15" customHeight="1">
      <c r="A89" s="465"/>
      <c r="B89" s="465"/>
      <c r="C89" s="477">
        <v>2211311</v>
      </c>
      <c r="D89" s="487" t="s">
        <v>1080</v>
      </c>
      <c r="E89" s="461" t="s">
        <v>1081</v>
      </c>
    </row>
    <row r="90" spans="1:5" ht="15" customHeight="1">
      <c r="A90" s="465"/>
      <c r="B90" s="465"/>
      <c r="C90" s="477">
        <v>2211313</v>
      </c>
      <c r="D90" s="487" t="s">
        <v>1082</v>
      </c>
      <c r="E90" s="461"/>
    </row>
    <row r="91" spans="1:5" ht="15" customHeight="1">
      <c r="A91" s="465"/>
      <c r="B91" s="465"/>
      <c r="C91" s="477">
        <v>2211314</v>
      </c>
      <c r="D91" s="487" t="s">
        <v>1083</v>
      </c>
      <c r="E91" s="461"/>
    </row>
    <row r="92" spans="1:5" ht="15" customHeight="1">
      <c r="A92" s="465"/>
      <c r="B92" s="465"/>
      <c r="C92" s="477">
        <v>2211329</v>
      </c>
      <c r="D92" s="487" t="s">
        <v>1084</v>
      </c>
      <c r="E92" s="461"/>
    </row>
    <row r="93" spans="1:5" ht="15" customHeight="1">
      <c r="A93" s="465"/>
      <c r="B93" s="465"/>
      <c r="C93" s="477">
        <v>2211399</v>
      </c>
      <c r="D93" s="487" t="s">
        <v>1085</v>
      </c>
      <c r="E93" s="748">
        <v>24000000</v>
      </c>
    </row>
    <row r="94" spans="1:5" ht="15" customHeight="1">
      <c r="A94" s="465"/>
      <c r="B94" s="465"/>
      <c r="C94" s="460">
        <v>2220100</v>
      </c>
      <c r="D94" s="486" t="s">
        <v>1086</v>
      </c>
      <c r="E94" s="462">
        <f>E95</f>
        <v>8000000</v>
      </c>
    </row>
    <row r="95" spans="1:5" ht="15" customHeight="1">
      <c r="A95" s="465"/>
      <c r="B95" s="465"/>
      <c r="C95" s="459">
        <v>2220101</v>
      </c>
      <c r="D95" s="487" t="s">
        <v>1087</v>
      </c>
      <c r="E95" s="461">
        <v>8000000</v>
      </c>
    </row>
    <row r="96" spans="1:5" ht="15" customHeight="1">
      <c r="A96" s="465"/>
      <c r="B96" s="465"/>
      <c r="C96" s="460">
        <v>2220200</v>
      </c>
      <c r="D96" s="486" t="s">
        <v>1088</v>
      </c>
      <c r="E96" s="462">
        <f>E97+E98+E99+E100+E101+E102+E103+E104</f>
        <v>4500000</v>
      </c>
    </row>
    <row r="97" spans="1:5" ht="15" customHeight="1">
      <c r="A97" s="465"/>
      <c r="B97" s="465"/>
      <c r="C97" s="459">
        <v>2220201</v>
      </c>
      <c r="D97" s="487" t="s">
        <v>1089</v>
      </c>
      <c r="E97" s="461">
        <v>0</v>
      </c>
    </row>
    <row r="98" spans="1:5" ht="15" customHeight="1">
      <c r="A98" s="465"/>
      <c r="B98" s="465"/>
      <c r="C98" s="459">
        <v>2220205</v>
      </c>
      <c r="D98" s="487" t="s">
        <v>1090</v>
      </c>
      <c r="E98" s="461">
        <v>2500000</v>
      </c>
    </row>
    <row r="99" spans="1:5" ht="15" customHeight="1">
      <c r="A99" s="465"/>
      <c r="B99" s="465"/>
      <c r="C99" s="459">
        <v>2220206</v>
      </c>
      <c r="D99" s="487" t="s">
        <v>1091</v>
      </c>
      <c r="E99" s="461"/>
    </row>
    <row r="100" spans="1:5" ht="15" customHeight="1">
      <c r="A100" s="465"/>
      <c r="B100" s="465"/>
      <c r="C100" s="459">
        <v>2220207</v>
      </c>
      <c r="D100" s="487" t="s">
        <v>1092</v>
      </c>
      <c r="E100" s="461"/>
    </row>
    <row r="101" spans="1:5" ht="15" customHeight="1">
      <c r="A101" s="465"/>
      <c r="B101" s="465"/>
      <c r="C101" s="459">
        <v>2220210</v>
      </c>
      <c r="D101" s="487" t="s">
        <v>1093</v>
      </c>
      <c r="E101" s="461">
        <v>1000000</v>
      </c>
    </row>
    <row r="102" spans="1:5" ht="15" customHeight="1">
      <c r="A102" s="465"/>
      <c r="B102" s="465"/>
      <c r="C102" s="459">
        <v>2220204</v>
      </c>
      <c r="D102" s="487" t="s">
        <v>1094</v>
      </c>
      <c r="E102" s="461">
        <v>1000000</v>
      </c>
    </row>
    <row r="103" spans="1:5" ht="15" customHeight="1">
      <c r="A103" s="465"/>
      <c r="B103" s="465"/>
      <c r="C103" s="459">
        <v>2220299</v>
      </c>
      <c r="D103" s="487" t="s">
        <v>1088</v>
      </c>
      <c r="E103" s="461"/>
    </row>
    <row r="104" spans="1:5" ht="15" customHeight="1">
      <c r="A104" s="465"/>
      <c r="B104" s="465"/>
      <c r="C104" s="459">
        <v>2220206</v>
      </c>
      <c r="D104" s="487" t="s">
        <v>1091</v>
      </c>
      <c r="E104" s="461">
        <v>0</v>
      </c>
    </row>
    <row r="105" spans="1:5" ht="15" customHeight="1">
      <c r="A105" s="465"/>
      <c r="B105" s="465"/>
      <c r="C105" s="460">
        <v>2620100</v>
      </c>
      <c r="D105" s="486" t="s">
        <v>1095</v>
      </c>
      <c r="E105" s="462">
        <f>E106</f>
        <v>3400000</v>
      </c>
    </row>
    <row r="106" spans="1:5" ht="15" customHeight="1">
      <c r="A106" s="465"/>
      <c r="B106" s="465"/>
      <c r="C106" s="459">
        <v>2620161</v>
      </c>
      <c r="D106" s="487" t="s">
        <v>1096</v>
      </c>
      <c r="E106" s="461">
        <v>3400000</v>
      </c>
    </row>
    <row r="107" spans="1:5" ht="15" customHeight="1">
      <c r="A107" s="465"/>
      <c r="B107" s="465"/>
      <c r="C107" s="460">
        <v>2640100</v>
      </c>
      <c r="D107" s="486" t="s">
        <v>1097</v>
      </c>
      <c r="E107" s="462">
        <v>0</v>
      </c>
    </row>
    <row r="108" spans="1:5" ht="15" customHeight="1">
      <c r="A108" s="465"/>
      <c r="B108" s="465"/>
      <c r="C108" s="459">
        <v>2640105</v>
      </c>
      <c r="D108" s="487" t="s">
        <v>1098</v>
      </c>
      <c r="E108" s="461"/>
    </row>
    <row r="109" spans="1:5" ht="15" customHeight="1">
      <c r="A109" s="465"/>
      <c r="B109" s="465"/>
      <c r="C109" s="459">
        <v>2649999</v>
      </c>
      <c r="D109" s="487" t="s">
        <v>1097</v>
      </c>
      <c r="E109" s="461"/>
    </row>
    <row r="110" spans="1:5" ht="15" customHeight="1">
      <c r="A110" s="465"/>
      <c r="B110" s="465"/>
      <c r="C110" s="460">
        <v>2640200</v>
      </c>
      <c r="D110" s="486" t="s">
        <v>1099</v>
      </c>
      <c r="E110" s="462">
        <v>0</v>
      </c>
    </row>
    <row r="111" spans="1:5" ht="15" customHeight="1">
      <c r="A111" s="465"/>
      <c r="B111" s="465"/>
      <c r="C111" s="459">
        <v>2640299</v>
      </c>
      <c r="D111" s="487" t="s">
        <v>1100</v>
      </c>
      <c r="E111" s="461"/>
    </row>
    <row r="112" spans="1:5" ht="15" customHeight="1">
      <c r="A112" s="465"/>
      <c r="B112" s="465"/>
      <c r="C112" s="460">
        <v>2810200</v>
      </c>
      <c r="D112" s="486" t="s">
        <v>1101</v>
      </c>
      <c r="E112" s="462">
        <v>0</v>
      </c>
    </row>
    <row r="113" spans="1:5" ht="15" customHeight="1">
      <c r="A113" s="465"/>
      <c r="B113" s="465"/>
      <c r="C113" s="459">
        <v>2810205</v>
      </c>
      <c r="D113" s="487" t="s">
        <v>1102</v>
      </c>
      <c r="E113" s="461"/>
    </row>
    <row r="114" spans="1:5" ht="15" customHeight="1">
      <c r="A114" s="465"/>
      <c r="B114" s="465"/>
      <c r="C114" s="460">
        <v>3110300</v>
      </c>
      <c r="D114" s="486" t="s">
        <v>1103</v>
      </c>
      <c r="E114" s="462">
        <v>0</v>
      </c>
    </row>
    <row r="115" spans="1:5" ht="15" customHeight="1">
      <c r="A115" s="465"/>
      <c r="B115" s="465"/>
      <c r="C115" s="459">
        <v>3110301</v>
      </c>
      <c r="D115" s="487" t="s">
        <v>1104</v>
      </c>
      <c r="E115" s="461"/>
    </row>
    <row r="116" spans="1:5" ht="15" customHeight="1">
      <c r="A116" s="465"/>
      <c r="B116" s="465"/>
      <c r="C116" s="459">
        <v>3110302</v>
      </c>
      <c r="D116" s="487" t="s">
        <v>1105</v>
      </c>
      <c r="E116" s="461">
        <v>0</v>
      </c>
    </row>
    <row r="117" spans="1:5" ht="15" customHeight="1">
      <c r="A117" s="465"/>
      <c r="B117" s="465"/>
      <c r="C117" s="460">
        <v>2710100</v>
      </c>
      <c r="D117" s="486" t="s">
        <v>1106</v>
      </c>
      <c r="E117" s="462">
        <f>E118</f>
        <v>13600000</v>
      </c>
    </row>
    <row r="118" spans="1:5" ht="15" customHeight="1">
      <c r="A118" s="465"/>
      <c r="B118" s="465"/>
      <c r="C118" s="459">
        <v>2710102</v>
      </c>
      <c r="D118" s="487" t="s">
        <v>1107</v>
      </c>
      <c r="E118" s="461">
        <v>13600000</v>
      </c>
    </row>
    <row r="119" spans="1:5" ht="15" customHeight="1">
      <c r="A119" s="465"/>
      <c r="B119" s="465"/>
      <c r="C119" s="460">
        <v>3110700</v>
      </c>
      <c r="D119" s="486" t="s">
        <v>1108</v>
      </c>
      <c r="E119" s="462">
        <v>0</v>
      </c>
    </row>
    <row r="120" spans="1:5" ht="15" customHeight="1">
      <c r="A120" s="465"/>
      <c r="B120" s="465"/>
      <c r="C120" s="459">
        <v>3110701</v>
      </c>
      <c r="D120" s="487" t="s">
        <v>1109</v>
      </c>
      <c r="E120" s="461"/>
    </row>
    <row r="121" spans="1:5" ht="15" customHeight="1">
      <c r="A121" s="465"/>
      <c r="B121" s="465"/>
      <c r="C121" s="460">
        <v>3111000</v>
      </c>
      <c r="D121" s="486" t="s">
        <v>1110</v>
      </c>
      <c r="E121" s="462">
        <f>E122+E123</f>
        <v>15200000</v>
      </c>
    </row>
    <row r="122" spans="1:5" ht="15" customHeight="1">
      <c r="A122" s="465"/>
      <c r="B122" s="465"/>
      <c r="C122" s="459">
        <v>3111001</v>
      </c>
      <c r="D122" s="487" t="s">
        <v>1111</v>
      </c>
      <c r="E122" s="461">
        <v>2000000</v>
      </c>
    </row>
    <row r="123" spans="1:5" ht="15" customHeight="1">
      <c r="A123" s="465"/>
      <c r="B123" s="465"/>
      <c r="C123" s="459">
        <v>3111002</v>
      </c>
      <c r="D123" s="487" t="s">
        <v>1112</v>
      </c>
      <c r="E123" s="959">
        <f>13200000</f>
        <v>13200000</v>
      </c>
    </row>
    <row r="124" spans="1:5" ht="15" customHeight="1">
      <c r="A124" s="465"/>
      <c r="B124" s="465"/>
      <c r="C124" s="459">
        <v>3111301</v>
      </c>
      <c r="D124" s="487" t="s">
        <v>971</v>
      </c>
      <c r="E124" s="461"/>
    </row>
    <row r="125" spans="1:5" ht="15" customHeight="1">
      <c r="A125" s="465"/>
      <c r="B125" s="465"/>
      <c r="C125" s="459">
        <v>3111302</v>
      </c>
      <c r="D125" s="487" t="s">
        <v>1113</v>
      </c>
      <c r="E125" s="461"/>
    </row>
    <row r="126" spans="1:5" ht="15" customHeight="1">
      <c r="A126" s="465"/>
      <c r="B126" s="465"/>
      <c r="C126" s="459">
        <v>3111305</v>
      </c>
      <c r="D126" s="487" t="s">
        <v>1114</v>
      </c>
      <c r="E126" s="461"/>
    </row>
    <row r="127" spans="1:5" ht="15" customHeight="1">
      <c r="A127" s="465"/>
      <c r="B127" s="465"/>
      <c r="C127" s="460">
        <v>3111400</v>
      </c>
      <c r="D127" s="489" t="s">
        <v>1119</v>
      </c>
      <c r="E127" s="462">
        <v>0</v>
      </c>
    </row>
    <row r="128" spans="1:5" ht="15" customHeight="1">
      <c r="A128" s="465"/>
      <c r="B128" s="465"/>
      <c r="C128" s="459">
        <v>3111401</v>
      </c>
      <c r="D128" s="487" t="s">
        <v>1115</v>
      </c>
      <c r="E128" s="461"/>
    </row>
    <row r="129" spans="1:19" ht="15" customHeight="1">
      <c r="A129" s="465"/>
      <c r="B129" s="465"/>
      <c r="C129" s="459">
        <v>3111403</v>
      </c>
      <c r="D129" s="487" t="s">
        <v>1116</v>
      </c>
      <c r="E129" s="461"/>
      <c r="S129" s="893">
        <v>520450000</v>
      </c>
    </row>
    <row r="130" spans="1:5" ht="15" customHeight="1">
      <c r="A130" s="465"/>
      <c r="B130" s="465"/>
      <c r="C130" s="459">
        <v>3111499</v>
      </c>
      <c r="D130" s="487" t="s">
        <v>1117</v>
      </c>
      <c r="E130" s="461"/>
    </row>
    <row r="131" spans="1:5" ht="15" customHeight="1">
      <c r="A131" s="465"/>
      <c r="B131" s="465"/>
      <c r="C131" s="460">
        <v>4110400</v>
      </c>
      <c r="D131" s="486" t="s">
        <v>1118</v>
      </c>
      <c r="E131" s="490">
        <f>SUM(E132)</f>
        <v>11250000</v>
      </c>
    </row>
    <row r="132" spans="1:5" ht="15" customHeight="1">
      <c r="A132" s="465"/>
      <c r="B132" s="465"/>
      <c r="C132" s="459">
        <v>4110403</v>
      </c>
      <c r="D132" s="487" t="s">
        <v>1118</v>
      </c>
      <c r="E132" s="937">
        <f>5800000+15450000-10000000</f>
        <v>11250000</v>
      </c>
    </row>
    <row r="133" spans="1:19" ht="15" customHeight="1">
      <c r="A133" s="1364" t="s">
        <v>1144</v>
      </c>
      <c r="B133" s="1365"/>
      <c r="C133" s="1365"/>
      <c r="D133" s="1366"/>
      <c r="E133" s="507">
        <f>E5+E9+E18+E21+E25+E29+E33+E38+E44+E48+E58+E61+E76+E80+E83+E94+E96+E105+E117+E121+E131</f>
        <v>559260215</v>
      </c>
      <c r="S133" s="894">
        <f>S129-E133</f>
        <v>-38810215</v>
      </c>
    </row>
    <row r="134" spans="1:5" ht="15" customHeight="1">
      <c r="A134" s="1367"/>
      <c r="B134" s="1368"/>
      <c r="C134" s="1368"/>
      <c r="D134" s="1368"/>
      <c r="E134" s="1369"/>
    </row>
    <row r="135" spans="1:5" ht="15" customHeight="1">
      <c r="A135" s="1370"/>
      <c r="B135" s="1371"/>
      <c r="C135" s="1371"/>
      <c r="D135" s="1371"/>
      <c r="E135" s="1372"/>
    </row>
    <row r="136" spans="1:5" ht="15" customHeight="1">
      <c r="A136" s="1349" t="s">
        <v>1120</v>
      </c>
      <c r="B136" s="1350"/>
      <c r="C136" s="1350"/>
      <c r="D136" s="1350"/>
      <c r="E136" s="1351"/>
    </row>
    <row r="137" spans="1:5" ht="15" customHeight="1">
      <c r="A137" s="1353" t="s">
        <v>1431</v>
      </c>
      <c r="B137" s="1354"/>
      <c r="C137" s="1354"/>
      <c r="D137" s="1354"/>
      <c r="E137" s="1354"/>
    </row>
    <row r="138" spans="1:5" ht="15" customHeight="1">
      <c r="A138" s="1352" t="s">
        <v>1121</v>
      </c>
      <c r="B138" s="1352"/>
      <c r="C138" s="1352"/>
      <c r="D138" s="1352"/>
      <c r="E138" s="1352"/>
    </row>
    <row r="139" spans="1:5" ht="15">
      <c r="A139" s="1347" t="s">
        <v>1122</v>
      </c>
      <c r="B139" s="1345"/>
      <c r="C139" s="1346" t="s">
        <v>998</v>
      </c>
      <c r="D139" s="1347" t="s">
        <v>997</v>
      </c>
      <c r="E139" s="1348" t="s">
        <v>1432</v>
      </c>
    </row>
    <row r="140" spans="1:13" s="749" customFormat="1" ht="18.75" customHeight="1">
      <c r="A140" s="1347"/>
      <c r="B140" s="1345"/>
      <c r="C140" s="1346"/>
      <c r="D140" s="1347"/>
      <c r="E140" s="1348"/>
      <c r="F140" s="534" t="s">
        <v>1389</v>
      </c>
      <c r="G140" s="534" t="s">
        <v>1390</v>
      </c>
      <c r="H140" s="533" t="s">
        <v>1391</v>
      </c>
      <c r="I140" s="533" t="s">
        <v>1392</v>
      </c>
      <c r="J140" s="620"/>
      <c r="K140" s="620"/>
      <c r="L140" s="620"/>
      <c r="M140" s="620"/>
    </row>
    <row r="141" spans="1:5" ht="15" customHeight="1">
      <c r="A141" s="467"/>
      <c r="B141" s="467" t="s">
        <v>1123</v>
      </c>
      <c r="C141" s="509"/>
      <c r="D141" s="468"/>
      <c r="E141" s="469"/>
    </row>
    <row r="142" spans="1:5" ht="15" customHeight="1">
      <c r="A142" s="470"/>
      <c r="B142" s="470"/>
      <c r="C142" s="509">
        <v>2110100</v>
      </c>
      <c r="D142" s="468" t="s">
        <v>999</v>
      </c>
      <c r="E142" s="471">
        <f>SUM(E143)</f>
        <v>121475406.76</v>
      </c>
    </row>
    <row r="143" spans="1:6" ht="15" customHeight="1">
      <c r="A143" s="470"/>
      <c r="B143" s="470"/>
      <c r="C143" s="510">
        <v>2110101</v>
      </c>
      <c r="D143" s="464" t="s">
        <v>1000</v>
      </c>
      <c r="E143" s="472">
        <f>(113070096-10000000-2000000)*1.06+14341105</f>
        <v>121475406.76</v>
      </c>
      <c r="F143" s="472">
        <f>113070096-10000000-2000000</f>
        <v>101070096</v>
      </c>
    </row>
    <row r="144" spans="1:5" ht="15" customHeight="1">
      <c r="A144" s="470"/>
      <c r="B144" s="470"/>
      <c r="C144" s="509">
        <v>2110200</v>
      </c>
      <c r="D144" s="468" t="s">
        <v>1001</v>
      </c>
      <c r="E144" s="471">
        <f>E145</f>
        <v>0</v>
      </c>
    </row>
    <row r="145" spans="1:5" ht="15" customHeight="1">
      <c r="A145" s="470"/>
      <c r="B145" s="470"/>
      <c r="C145" s="510">
        <v>2110202</v>
      </c>
      <c r="D145" s="464" t="s">
        <v>1002</v>
      </c>
      <c r="E145" s="472"/>
    </row>
    <row r="146" spans="1:5" ht="15" customHeight="1">
      <c r="A146" s="470"/>
      <c r="B146" s="470"/>
      <c r="C146" s="509">
        <v>2110300</v>
      </c>
      <c r="D146" s="468" t="s">
        <v>1003</v>
      </c>
      <c r="E146" s="471">
        <f>SUM(E147:E154)</f>
        <v>0</v>
      </c>
    </row>
    <row r="147" spans="1:5" ht="15" customHeight="1">
      <c r="A147" s="470"/>
      <c r="B147" s="470"/>
      <c r="C147" s="510">
        <v>2110301</v>
      </c>
      <c r="D147" s="464" t="s">
        <v>1004</v>
      </c>
      <c r="E147" s="472">
        <v>0</v>
      </c>
    </row>
    <row r="148" spans="1:5" ht="15" customHeight="1">
      <c r="A148" s="470"/>
      <c r="B148" s="470"/>
      <c r="C148" s="510">
        <v>2110302</v>
      </c>
      <c r="D148" s="464" t="s">
        <v>1124</v>
      </c>
      <c r="E148" s="472"/>
    </row>
    <row r="149" spans="1:5" ht="15" customHeight="1">
      <c r="A149" s="470"/>
      <c r="B149" s="470"/>
      <c r="C149" s="510">
        <v>2110303</v>
      </c>
      <c r="D149" s="464" t="s">
        <v>1006</v>
      </c>
      <c r="E149" s="472"/>
    </row>
    <row r="150" spans="1:5" ht="15" customHeight="1">
      <c r="A150" s="470"/>
      <c r="B150" s="470"/>
      <c r="C150" s="510">
        <v>2110314</v>
      </c>
      <c r="D150" s="464" t="s">
        <v>1007</v>
      </c>
      <c r="E150" s="472"/>
    </row>
    <row r="151" spans="1:5" ht="15" customHeight="1">
      <c r="A151" s="470"/>
      <c r="B151" s="470"/>
      <c r="C151" s="510">
        <v>2110320</v>
      </c>
      <c r="D151" s="464" t="s">
        <v>1008</v>
      </c>
      <c r="E151" s="472"/>
    </row>
    <row r="152" spans="1:5" ht="15" customHeight="1">
      <c r="A152" s="470"/>
      <c r="B152" s="470"/>
      <c r="C152" s="510">
        <v>2110321</v>
      </c>
      <c r="D152" s="464" t="s">
        <v>1009</v>
      </c>
      <c r="E152" s="472"/>
    </row>
    <row r="153" spans="1:5" ht="15" customHeight="1">
      <c r="A153" s="470"/>
      <c r="B153" s="470"/>
      <c r="C153" s="510">
        <v>2110322</v>
      </c>
      <c r="D153" s="464" t="s">
        <v>1010</v>
      </c>
      <c r="E153" s="472"/>
    </row>
    <row r="154" spans="1:5" ht="15" customHeight="1">
      <c r="A154" s="470"/>
      <c r="B154" s="470"/>
      <c r="C154" s="510">
        <v>2110333</v>
      </c>
      <c r="D154" s="464" t="s">
        <v>1011</v>
      </c>
      <c r="E154" s="472"/>
    </row>
    <row r="155" spans="1:5" ht="15" customHeight="1">
      <c r="A155" s="470"/>
      <c r="B155" s="470"/>
      <c r="C155" s="509">
        <v>2120100</v>
      </c>
      <c r="D155" s="468" t="s">
        <v>1012</v>
      </c>
      <c r="E155" s="471">
        <f>SUM(E156:E158)</f>
        <v>0</v>
      </c>
    </row>
    <row r="156" spans="1:5" ht="15" customHeight="1">
      <c r="A156" s="470"/>
      <c r="B156" s="470"/>
      <c r="C156" s="510">
        <v>2120101</v>
      </c>
      <c r="D156" s="464" t="s">
        <v>1013</v>
      </c>
      <c r="E156" s="472"/>
    </row>
    <row r="157" spans="1:5" ht="15" customHeight="1">
      <c r="A157" s="470"/>
      <c r="B157" s="470"/>
      <c r="C157" s="510">
        <v>2120102</v>
      </c>
      <c r="D157" s="464" t="s">
        <v>1125</v>
      </c>
      <c r="E157" s="472"/>
    </row>
    <row r="158" spans="1:5" ht="15" customHeight="1">
      <c r="A158" s="470"/>
      <c r="B158" s="470"/>
      <c r="C158" s="510">
        <v>2120103</v>
      </c>
      <c r="D158" s="464" t="s">
        <v>1126</v>
      </c>
      <c r="E158" s="472"/>
    </row>
    <row r="159" spans="1:5" ht="15" customHeight="1">
      <c r="A159" s="470"/>
      <c r="B159" s="470"/>
      <c r="C159" s="509">
        <v>2210100</v>
      </c>
      <c r="D159" s="468" t="s">
        <v>1015</v>
      </c>
      <c r="E159" s="471">
        <f>SUM(E160:E162)</f>
        <v>8700000</v>
      </c>
    </row>
    <row r="160" spans="1:6" ht="15" customHeight="1">
      <c r="A160" s="470"/>
      <c r="B160" s="470"/>
      <c r="C160" s="510">
        <v>2210101</v>
      </c>
      <c r="D160" s="464" t="s">
        <v>1016</v>
      </c>
      <c r="E160" s="472">
        <v>1500000</v>
      </c>
      <c r="F160" s="472">
        <v>1500000</v>
      </c>
    </row>
    <row r="161" spans="1:6" ht="15" customHeight="1">
      <c r="A161" s="470"/>
      <c r="B161" s="470"/>
      <c r="C161" s="510">
        <v>2210102</v>
      </c>
      <c r="D161" s="464" t="s">
        <v>1017</v>
      </c>
      <c r="E161" s="472">
        <f>2000000+5000000</f>
        <v>7000000</v>
      </c>
      <c r="F161" s="472">
        <v>2000000</v>
      </c>
    </row>
    <row r="162" spans="1:6" ht="15" customHeight="1">
      <c r="A162" s="470"/>
      <c r="B162" s="470"/>
      <c r="C162" s="510">
        <v>2210106</v>
      </c>
      <c r="D162" s="464" t="s">
        <v>1018</v>
      </c>
      <c r="E162" s="472">
        <v>200000</v>
      </c>
      <c r="F162" s="472">
        <v>200000</v>
      </c>
    </row>
    <row r="163" spans="1:5" ht="15" customHeight="1">
      <c r="A163" s="470"/>
      <c r="B163" s="470"/>
      <c r="C163" s="509">
        <v>2210200</v>
      </c>
      <c r="D163" s="468" t="s">
        <v>1019</v>
      </c>
      <c r="E163" s="471">
        <f>SUM(E164:E166)</f>
        <v>6500000</v>
      </c>
    </row>
    <row r="164" spans="1:6" ht="15" customHeight="1">
      <c r="A164" s="470"/>
      <c r="B164" s="470"/>
      <c r="C164" s="510">
        <v>2210201</v>
      </c>
      <c r="D164" s="464" t="s">
        <v>1020</v>
      </c>
      <c r="E164" s="472">
        <v>1500000</v>
      </c>
      <c r="F164" s="472">
        <v>1500000</v>
      </c>
    </row>
    <row r="165" spans="1:6" ht="15" customHeight="1">
      <c r="A165" s="470"/>
      <c r="B165" s="470"/>
      <c r="C165" s="510">
        <v>2210202</v>
      </c>
      <c r="D165" s="464" t="s">
        <v>1021</v>
      </c>
      <c r="E165" s="472">
        <v>1000000</v>
      </c>
      <c r="F165" s="472">
        <v>1000000</v>
      </c>
    </row>
    <row r="166" spans="1:6" ht="15" customHeight="1">
      <c r="A166" s="470"/>
      <c r="B166" s="470"/>
      <c r="C166" s="510">
        <v>2210206</v>
      </c>
      <c r="D166" s="464" t="s">
        <v>1022</v>
      </c>
      <c r="E166" s="472">
        <v>4000000</v>
      </c>
      <c r="F166" s="472">
        <v>4000000</v>
      </c>
    </row>
    <row r="167" spans="1:5" ht="15" customHeight="1">
      <c r="A167" s="470"/>
      <c r="B167" s="470"/>
      <c r="C167" s="509">
        <v>2210300</v>
      </c>
      <c r="D167" s="468" t="s">
        <v>1023</v>
      </c>
      <c r="E167" s="471">
        <f>SUM(E168:E170)</f>
        <v>50000000</v>
      </c>
    </row>
    <row r="168" spans="1:6" ht="15" customHeight="1">
      <c r="A168" s="470"/>
      <c r="B168" s="470"/>
      <c r="C168" s="510">
        <v>2210301</v>
      </c>
      <c r="D168" s="464" t="s">
        <v>1024</v>
      </c>
      <c r="E168" s="472">
        <v>20000000</v>
      </c>
      <c r="F168" s="472">
        <v>20000000</v>
      </c>
    </row>
    <row r="169" spans="1:6" ht="15" customHeight="1">
      <c r="A169" s="470"/>
      <c r="B169" s="470"/>
      <c r="C169" s="510">
        <v>2210302</v>
      </c>
      <c r="D169" s="464" t="s">
        <v>1025</v>
      </c>
      <c r="E169" s="472">
        <v>20000000</v>
      </c>
      <c r="F169" s="472">
        <v>20000000</v>
      </c>
    </row>
    <row r="170" spans="1:6" ht="15" customHeight="1">
      <c r="A170" s="470"/>
      <c r="B170" s="470"/>
      <c r="C170" s="510">
        <v>2210303</v>
      </c>
      <c r="D170" s="464" t="s">
        <v>1026</v>
      </c>
      <c r="E170" s="472">
        <v>10000000</v>
      </c>
      <c r="F170" s="472">
        <v>10000000</v>
      </c>
    </row>
    <row r="171" spans="1:5" ht="15" customHeight="1">
      <c r="A171" s="470"/>
      <c r="B171" s="470"/>
      <c r="C171" s="460">
        <v>2210400</v>
      </c>
      <c r="D171" s="486" t="s">
        <v>1127</v>
      </c>
      <c r="E171" s="471">
        <f>SUM(E172:E175)</f>
        <v>15500000</v>
      </c>
    </row>
    <row r="172" spans="1:6" ht="15" customHeight="1">
      <c r="A172" s="470"/>
      <c r="B172" s="470"/>
      <c r="C172" s="459">
        <v>2210401</v>
      </c>
      <c r="D172" s="487" t="s">
        <v>1024</v>
      </c>
      <c r="E172" s="472">
        <v>7000000</v>
      </c>
      <c r="F172" s="472">
        <v>7000000</v>
      </c>
    </row>
    <row r="173" spans="1:6" ht="15" customHeight="1">
      <c r="A173" s="470"/>
      <c r="B173" s="470"/>
      <c r="C173" s="459">
        <v>2210402</v>
      </c>
      <c r="D173" s="487" t="s">
        <v>1128</v>
      </c>
      <c r="E173" s="472">
        <v>3000000</v>
      </c>
      <c r="F173" s="472">
        <v>3000000</v>
      </c>
    </row>
    <row r="174" spans="1:6" ht="15" customHeight="1">
      <c r="A174" s="470"/>
      <c r="B174" s="470"/>
      <c r="C174" s="459">
        <v>2210403</v>
      </c>
      <c r="D174" s="487" t="s">
        <v>1129</v>
      </c>
      <c r="E174" s="472">
        <v>5000000</v>
      </c>
      <c r="F174" s="472">
        <v>5000000</v>
      </c>
    </row>
    <row r="175" spans="1:6" ht="15" customHeight="1">
      <c r="A175" s="470"/>
      <c r="B175" s="470"/>
      <c r="C175" s="459">
        <v>2210404</v>
      </c>
      <c r="D175" s="487" t="s">
        <v>1130</v>
      </c>
      <c r="E175" s="472">
        <v>500000</v>
      </c>
      <c r="F175" s="472">
        <v>500000</v>
      </c>
    </row>
    <row r="176" spans="1:5" ht="15" customHeight="1">
      <c r="A176" s="473"/>
      <c r="B176" s="473"/>
      <c r="C176" s="509">
        <v>2210500</v>
      </c>
      <c r="D176" s="468" t="s">
        <v>1029</v>
      </c>
      <c r="E176" s="471">
        <f>SUM(E177:E181)</f>
        <v>21000000</v>
      </c>
    </row>
    <row r="177" spans="1:6" ht="15" customHeight="1">
      <c r="A177" s="470"/>
      <c r="B177" s="470"/>
      <c r="C177" s="510">
        <v>2210502</v>
      </c>
      <c r="D177" s="464" t="s">
        <v>1030</v>
      </c>
      <c r="E177" s="472">
        <f>4000000+5000000</f>
        <v>9000000</v>
      </c>
      <c r="F177" s="472">
        <v>4000000</v>
      </c>
    </row>
    <row r="178" spans="1:6" ht="15" customHeight="1">
      <c r="A178" s="470"/>
      <c r="B178" s="470"/>
      <c r="C178" s="510">
        <v>2210503</v>
      </c>
      <c r="D178" s="464" t="s">
        <v>1031</v>
      </c>
      <c r="E178" s="472">
        <v>500000</v>
      </c>
      <c r="F178" s="472">
        <v>500000</v>
      </c>
    </row>
    <row r="179" spans="1:6" ht="15" customHeight="1">
      <c r="A179" s="470"/>
      <c r="B179" s="470"/>
      <c r="C179" s="510">
        <v>2210504</v>
      </c>
      <c r="D179" s="464" t="s">
        <v>1032</v>
      </c>
      <c r="E179" s="472">
        <f>2500000+5000000</f>
        <v>7500000</v>
      </c>
      <c r="F179" s="472">
        <v>2500000</v>
      </c>
    </row>
    <row r="180" spans="1:5" ht="15" customHeight="1">
      <c r="A180" s="470"/>
      <c r="B180" s="470"/>
      <c r="C180" s="510">
        <v>2210505</v>
      </c>
      <c r="D180" s="464" t="s">
        <v>1033</v>
      </c>
      <c r="E180" s="472">
        <v>2000000</v>
      </c>
    </row>
    <row r="181" spans="1:5" ht="15" customHeight="1">
      <c r="A181" s="470"/>
      <c r="B181" s="470"/>
      <c r="C181" s="510">
        <v>2210599</v>
      </c>
      <c r="D181" s="464" t="s">
        <v>1034</v>
      </c>
      <c r="E181" s="472">
        <v>2000000</v>
      </c>
    </row>
    <row r="182" spans="1:5" ht="15" customHeight="1">
      <c r="A182" s="470"/>
      <c r="B182" s="470"/>
      <c r="C182" s="509">
        <v>2210600</v>
      </c>
      <c r="D182" s="468" t="s">
        <v>1035</v>
      </c>
      <c r="E182" s="471">
        <f>SUM(E183:E185)</f>
        <v>42500000</v>
      </c>
    </row>
    <row r="183" spans="1:6" ht="15" customHeight="1">
      <c r="A183" s="470"/>
      <c r="B183" s="470"/>
      <c r="C183" s="510">
        <v>2210602</v>
      </c>
      <c r="D183" s="464" t="s">
        <v>1036</v>
      </c>
      <c r="E183" s="472">
        <v>5000000</v>
      </c>
      <c r="F183" s="472">
        <v>5000000</v>
      </c>
    </row>
    <row r="184" spans="1:6" ht="15" customHeight="1">
      <c r="A184" s="470"/>
      <c r="B184" s="470"/>
      <c r="C184" s="510">
        <v>2210603</v>
      </c>
      <c r="D184" s="464" t="s">
        <v>1037</v>
      </c>
      <c r="E184" s="472">
        <v>12500000</v>
      </c>
      <c r="F184" s="472">
        <v>12500000</v>
      </c>
    </row>
    <row r="185" spans="1:6" ht="15" customHeight="1">
      <c r="A185" s="470"/>
      <c r="B185" s="470"/>
      <c r="C185" s="510">
        <v>2210604</v>
      </c>
      <c r="D185" s="464" t="s">
        <v>1038</v>
      </c>
      <c r="E185" s="472">
        <f>21000000+4000000</f>
        <v>25000000</v>
      </c>
      <c r="F185" s="472">
        <v>21000000</v>
      </c>
    </row>
    <row r="186" spans="1:5" ht="15" customHeight="1">
      <c r="A186" s="470"/>
      <c r="B186" s="470"/>
      <c r="C186" s="509">
        <v>2210700</v>
      </c>
      <c r="D186" s="468" t="s">
        <v>1039</v>
      </c>
      <c r="E186" s="471">
        <f>SUM(E187:E195)</f>
        <v>14665698</v>
      </c>
    </row>
    <row r="187" spans="1:7" ht="15" customHeight="1">
      <c r="A187" s="470"/>
      <c r="B187" s="470"/>
      <c r="C187" s="510">
        <v>2210701</v>
      </c>
      <c r="D187" s="464" t="s">
        <v>1040</v>
      </c>
      <c r="E187" s="472">
        <v>2000000</v>
      </c>
      <c r="G187" s="472">
        <v>2000000</v>
      </c>
    </row>
    <row r="188" spans="1:7" ht="15" customHeight="1">
      <c r="A188" s="470"/>
      <c r="B188" s="470"/>
      <c r="C188" s="510">
        <v>2210702</v>
      </c>
      <c r="D188" s="464" t="s">
        <v>1041</v>
      </c>
      <c r="E188" s="472">
        <v>900000</v>
      </c>
      <c r="G188" s="472">
        <v>900000</v>
      </c>
    </row>
    <row r="189" spans="1:7" ht="15" customHeight="1">
      <c r="A189" s="470"/>
      <c r="B189" s="470"/>
      <c r="C189" s="510">
        <v>2210703</v>
      </c>
      <c r="D189" s="464" t="s">
        <v>1042</v>
      </c>
      <c r="E189" s="472">
        <v>1500000</v>
      </c>
      <c r="G189" s="472">
        <v>1500000</v>
      </c>
    </row>
    <row r="190" spans="1:7" ht="15" customHeight="1">
      <c r="A190" s="470"/>
      <c r="B190" s="470"/>
      <c r="C190" s="510">
        <v>2210704</v>
      </c>
      <c r="D190" s="464" t="s">
        <v>1043</v>
      </c>
      <c r="E190" s="472">
        <v>2000000</v>
      </c>
      <c r="G190" s="472">
        <v>2000000</v>
      </c>
    </row>
    <row r="191" spans="1:7" ht="15" customHeight="1">
      <c r="A191" s="470"/>
      <c r="B191" s="470"/>
      <c r="C191" s="510">
        <v>2210710</v>
      </c>
      <c r="D191" s="464" t="s">
        <v>1044</v>
      </c>
      <c r="E191" s="472">
        <v>2000000</v>
      </c>
      <c r="G191" s="472">
        <v>2000000</v>
      </c>
    </row>
    <row r="192" spans="1:7" ht="15" customHeight="1">
      <c r="A192" s="470"/>
      <c r="B192" s="470"/>
      <c r="C192" s="510">
        <v>2210711</v>
      </c>
      <c r="D192" s="464" t="s">
        <v>1045</v>
      </c>
      <c r="E192" s="472">
        <v>1500000</v>
      </c>
      <c r="G192" s="472">
        <v>1500000</v>
      </c>
    </row>
    <row r="193" spans="1:7" ht="15" customHeight="1">
      <c r="A193" s="470"/>
      <c r="B193" s="470"/>
      <c r="C193" s="510">
        <v>2210713</v>
      </c>
      <c r="D193" s="464" t="s">
        <v>1046</v>
      </c>
      <c r="E193" s="472"/>
      <c r="G193" s="472"/>
    </row>
    <row r="194" spans="1:7" ht="15" customHeight="1">
      <c r="A194" s="470"/>
      <c r="B194" s="470"/>
      <c r="C194" s="510">
        <v>2210716</v>
      </c>
      <c r="D194" s="464" t="s">
        <v>1047</v>
      </c>
      <c r="E194" s="472">
        <v>0</v>
      </c>
      <c r="G194" s="472">
        <v>0</v>
      </c>
    </row>
    <row r="195" spans="1:7" ht="15" customHeight="1">
      <c r="A195" s="470"/>
      <c r="B195" s="470"/>
      <c r="C195" s="510">
        <v>2210799</v>
      </c>
      <c r="D195" s="464" t="s">
        <v>1039</v>
      </c>
      <c r="E195" s="472">
        <f>2500000+2265698</f>
        <v>4765698</v>
      </c>
      <c r="G195" s="472">
        <v>2500000</v>
      </c>
    </row>
    <row r="196" spans="1:5" ht="15" customHeight="1">
      <c r="A196" s="470"/>
      <c r="B196" s="470"/>
      <c r="C196" s="509">
        <v>2210800</v>
      </c>
      <c r="D196" s="468" t="s">
        <v>1049</v>
      </c>
      <c r="E196" s="471">
        <f>SUM(E197:E198)</f>
        <v>67000000</v>
      </c>
    </row>
    <row r="197" spans="1:6" ht="15" customHeight="1">
      <c r="A197" s="470"/>
      <c r="B197" s="470"/>
      <c r="C197" s="510">
        <v>2210801</v>
      </c>
      <c r="D197" s="464" t="s">
        <v>1050</v>
      </c>
      <c r="E197" s="472">
        <f>8900000+2000000+20000000</f>
        <v>30900000</v>
      </c>
      <c r="F197" s="472">
        <v>8900000</v>
      </c>
    </row>
    <row r="198" spans="1:6" ht="15" customHeight="1">
      <c r="A198" s="470"/>
      <c r="B198" s="470"/>
      <c r="C198" s="510">
        <v>2210802</v>
      </c>
      <c r="D198" s="464" t="s">
        <v>1131</v>
      </c>
      <c r="E198" s="472">
        <f>11100000+25000000</f>
        <v>36100000</v>
      </c>
      <c r="F198" s="472">
        <v>11100000</v>
      </c>
    </row>
    <row r="199" spans="1:5" ht="15" customHeight="1">
      <c r="A199" s="470"/>
      <c r="B199" s="470"/>
      <c r="C199" s="509">
        <v>2210900</v>
      </c>
      <c r="D199" s="468" t="s">
        <v>1052</v>
      </c>
      <c r="E199" s="471">
        <f>SUM(E200:E203)</f>
        <v>0</v>
      </c>
    </row>
    <row r="200" spans="1:5" ht="15" customHeight="1">
      <c r="A200" s="470"/>
      <c r="B200" s="470"/>
      <c r="C200" s="510">
        <v>2210901</v>
      </c>
      <c r="D200" s="464" t="s">
        <v>1053</v>
      </c>
      <c r="E200" s="472"/>
    </row>
    <row r="201" spans="1:5" ht="15" customHeight="1">
      <c r="A201" s="470"/>
      <c r="B201" s="470"/>
      <c r="C201" s="510">
        <v>2210902</v>
      </c>
      <c r="D201" s="464" t="s">
        <v>1054</v>
      </c>
      <c r="E201" s="472"/>
    </row>
    <row r="202" spans="1:5" ht="15" customHeight="1">
      <c r="A202" s="470"/>
      <c r="B202" s="470"/>
      <c r="C202" s="510">
        <v>2210904</v>
      </c>
      <c r="D202" s="464" t="s">
        <v>1055</v>
      </c>
      <c r="E202" s="472"/>
    </row>
    <row r="203" spans="1:5" ht="15" customHeight="1">
      <c r="A203" s="470"/>
      <c r="B203" s="470"/>
      <c r="C203" s="510">
        <v>2210910</v>
      </c>
      <c r="D203" s="464" t="s">
        <v>1056</v>
      </c>
      <c r="E203" s="472"/>
    </row>
    <row r="204" spans="1:5" ht="15" customHeight="1">
      <c r="A204" s="470"/>
      <c r="B204" s="470"/>
      <c r="C204" s="509">
        <v>2211000</v>
      </c>
      <c r="D204" s="468" t="s">
        <v>1057</v>
      </c>
      <c r="E204" s="471">
        <f>SUM(E205:E213)</f>
        <v>700000</v>
      </c>
    </row>
    <row r="205" spans="1:6" ht="15" customHeight="1">
      <c r="A205" s="470"/>
      <c r="B205" s="470"/>
      <c r="C205" s="510">
        <v>2211001</v>
      </c>
      <c r="D205" s="464" t="s">
        <v>1058</v>
      </c>
      <c r="E205" s="472">
        <v>200000</v>
      </c>
      <c r="F205" s="472">
        <v>200000</v>
      </c>
    </row>
    <row r="206" spans="1:6" ht="15" customHeight="1">
      <c r="A206" s="470"/>
      <c r="B206" s="470"/>
      <c r="C206" s="510">
        <v>2211003</v>
      </c>
      <c r="D206" s="464" t="s">
        <v>1132</v>
      </c>
      <c r="E206" s="472">
        <v>0</v>
      </c>
      <c r="F206" s="472">
        <v>0</v>
      </c>
    </row>
    <row r="207" spans="1:6" ht="15" customHeight="1">
      <c r="A207" s="470"/>
      <c r="B207" s="470"/>
      <c r="C207" s="510">
        <v>2211004</v>
      </c>
      <c r="D207" s="464" t="s">
        <v>1060</v>
      </c>
      <c r="E207" s="472">
        <v>0</v>
      </c>
      <c r="F207" s="472">
        <v>0</v>
      </c>
    </row>
    <row r="208" spans="1:6" ht="15" customHeight="1">
      <c r="A208" s="470"/>
      <c r="B208" s="470"/>
      <c r="C208" s="510">
        <v>2211006</v>
      </c>
      <c r="D208" s="464" t="s">
        <v>1061</v>
      </c>
      <c r="E208" s="472">
        <v>200000</v>
      </c>
      <c r="F208" s="472">
        <v>200000</v>
      </c>
    </row>
    <row r="209" spans="1:6" ht="15" customHeight="1">
      <c r="A209" s="470"/>
      <c r="B209" s="470"/>
      <c r="C209" s="510">
        <v>2211007</v>
      </c>
      <c r="D209" s="464" t="s">
        <v>1133</v>
      </c>
      <c r="E209" s="472">
        <v>0</v>
      </c>
      <c r="F209" s="472">
        <v>0</v>
      </c>
    </row>
    <row r="210" spans="1:6" ht="15" customHeight="1">
      <c r="A210" s="470"/>
      <c r="B210" s="470"/>
      <c r="C210" s="510">
        <v>2211015</v>
      </c>
      <c r="D210" s="464" t="s">
        <v>1063</v>
      </c>
      <c r="E210" s="472">
        <v>0</v>
      </c>
      <c r="F210" s="472">
        <v>0</v>
      </c>
    </row>
    <row r="211" spans="1:6" ht="15" customHeight="1">
      <c r="A211" s="470"/>
      <c r="B211" s="470"/>
      <c r="C211" s="510">
        <v>2211016</v>
      </c>
      <c r="D211" s="464" t="s">
        <v>1064</v>
      </c>
      <c r="E211" s="472">
        <v>300000</v>
      </c>
      <c r="F211" s="472">
        <v>300000</v>
      </c>
    </row>
    <row r="212" spans="1:5" ht="15" customHeight="1">
      <c r="A212" s="470"/>
      <c r="B212" s="470"/>
      <c r="C212" s="510">
        <v>2211023</v>
      </c>
      <c r="D212" s="464" t="s">
        <v>1065</v>
      </c>
      <c r="E212" s="472">
        <v>0</v>
      </c>
    </row>
    <row r="213" spans="1:5" ht="15" customHeight="1">
      <c r="A213" s="470"/>
      <c r="B213" s="470"/>
      <c r="C213" s="510">
        <v>2211026</v>
      </c>
      <c r="D213" s="464" t="s">
        <v>1134</v>
      </c>
      <c r="E213" s="472">
        <v>0</v>
      </c>
    </row>
    <row r="214" spans="1:5" ht="15" customHeight="1">
      <c r="A214" s="470"/>
      <c r="B214" s="470"/>
      <c r="C214" s="509">
        <v>2211100</v>
      </c>
      <c r="D214" s="468" t="s">
        <v>1067</v>
      </c>
      <c r="E214" s="471">
        <f>SUM(E215:E217)</f>
        <v>16000000</v>
      </c>
    </row>
    <row r="215" spans="1:6" ht="15" customHeight="1">
      <c r="A215" s="470"/>
      <c r="B215" s="470"/>
      <c r="C215" s="510">
        <v>2211101</v>
      </c>
      <c r="D215" s="464" t="s">
        <v>1135</v>
      </c>
      <c r="E215" s="472">
        <f>5000000+5000000</f>
        <v>10000000</v>
      </c>
      <c r="F215" s="472">
        <v>5000000</v>
      </c>
    </row>
    <row r="216" spans="1:6" ht="15" customHeight="1">
      <c r="A216" s="470"/>
      <c r="B216" s="470"/>
      <c r="C216" s="510">
        <v>2211102</v>
      </c>
      <c r="D216" s="464" t="s">
        <v>1069</v>
      </c>
      <c r="E216" s="472">
        <v>1000000</v>
      </c>
      <c r="F216" s="472">
        <v>1000000</v>
      </c>
    </row>
    <row r="217" spans="1:6" ht="15" customHeight="1">
      <c r="A217" s="470"/>
      <c r="B217" s="470"/>
      <c r="C217" s="510">
        <v>2211103</v>
      </c>
      <c r="D217" s="464" t="s">
        <v>1070</v>
      </c>
      <c r="E217" s="472">
        <f>2000000+3000000</f>
        <v>5000000</v>
      </c>
      <c r="F217" s="472">
        <v>2000000</v>
      </c>
    </row>
    <row r="218" spans="1:5" ht="15" customHeight="1">
      <c r="A218" s="470"/>
      <c r="B218" s="470"/>
      <c r="C218" s="509">
        <v>2211200</v>
      </c>
      <c r="D218" s="468" t="s">
        <v>1071</v>
      </c>
      <c r="E218" s="471">
        <f>SUM(E219:E220)</f>
        <v>23000000</v>
      </c>
    </row>
    <row r="219" spans="1:6" ht="15" customHeight="1">
      <c r="A219" s="470"/>
      <c r="B219" s="470"/>
      <c r="C219" s="510">
        <v>2211201</v>
      </c>
      <c r="D219" s="464" t="s">
        <v>1072</v>
      </c>
      <c r="E219" s="472">
        <f>17000000+3000000</f>
        <v>20000000</v>
      </c>
      <c r="F219" s="472">
        <v>17000000</v>
      </c>
    </row>
    <row r="220" spans="1:6" ht="15" customHeight="1">
      <c r="A220" s="470"/>
      <c r="B220" s="470"/>
      <c r="C220" s="510">
        <v>2211201</v>
      </c>
      <c r="D220" s="464" t="s">
        <v>1136</v>
      </c>
      <c r="E220" s="472">
        <v>3000000</v>
      </c>
      <c r="F220" s="472">
        <v>3000000</v>
      </c>
    </row>
    <row r="221" spans="1:5" ht="15" customHeight="1">
      <c r="A221" s="473"/>
      <c r="B221" s="473"/>
      <c r="C221" s="509">
        <v>2211300</v>
      </c>
      <c r="D221" s="468" t="s">
        <v>1074</v>
      </c>
      <c r="E221" s="471">
        <f>SUM(E222:E231)</f>
        <v>68000000</v>
      </c>
    </row>
    <row r="222" spans="1:5" ht="15" customHeight="1">
      <c r="A222" s="470"/>
      <c r="B222" s="470"/>
      <c r="C222" s="511">
        <v>2211301</v>
      </c>
      <c r="D222" s="464" t="s">
        <v>1075</v>
      </c>
      <c r="E222" s="472"/>
    </row>
    <row r="223" spans="1:5" ht="15" customHeight="1">
      <c r="A223" s="470"/>
      <c r="B223" s="470"/>
      <c r="C223" s="511">
        <v>2211304</v>
      </c>
      <c r="D223" s="464" t="s">
        <v>1076</v>
      </c>
      <c r="E223" s="472"/>
    </row>
    <row r="224" spans="1:9" ht="15" customHeight="1">
      <c r="A224" s="470"/>
      <c r="B224" s="470"/>
      <c r="C224" s="511">
        <v>2211308</v>
      </c>
      <c r="D224" s="464" t="s">
        <v>1077</v>
      </c>
      <c r="E224" s="472">
        <v>15000000</v>
      </c>
      <c r="I224" s="616">
        <v>15000000</v>
      </c>
    </row>
    <row r="225" spans="1:5" ht="15" customHeight="1">
      <c r="A225" s="470"/>
      <c r="B225" s="470"/>
      <c r="C225" s="511">
        <v>2211309</v>
      </c>
      <c r="D225" s="464" t="s">
        <v>1078</v>
      </c>
      <c r="E225" s="472"/>
    </row>
    <row r="226" spans="1:6" ht="15" customHeight="1">
      <c r="A226" s="470"/>
      <c r="B226" s="470"/>
      <c r="C226" s="511">
        <v>2211310</v>
      </c>
      <c r="D226" s="464" t="s">
        <v>1137</v>
      </c>
      <c r="E226" s="472">
        <v>1500000</v>
      </c>
      <c r="F226" s="616">
        <v>1500000</v>
      </c>
    </row>
    <row r="227" spans="1:6" ht="15" customHeight="1">
      <c r="A227" s="470"/>
      <c r="B227" s="470"/>
      <c r="C227" s="511">
        <v>2211311</v>
      </c>
      <c r="D227" s="464" t="s">
        <v>1080</v>
      </c>
      <c r="E227" s="472">
        <v>1500000</v>
      </c>
      <c r="F227" s="616">
        <v>1500000</v>
      </c>
    </row>
    <row r="228" spans="1:7" ht="15" customHeight="1">
      <c r="A228" s="470"/>
      <c r="B228" s="470"/>
      <c r="C228" s="511">
        <v>2211313</v>
      </c>
      <c r="D228" s="464" t="s">
        <v>2200</v>
      </c>
      <c r="E228" s="472">
        <f>30000000-5000000</f>
        <v>25000000</v>
      </c>
      <c r="G228" s="616">
        <v>30000000</v>
      </c>
    </row>
    <row r="229" spans="1:5" ht="15" customHeight="1">
      <c r="A229" s="470"/>
      <c r="B229" s="470"/>
      <c r="C229" s="511">
        <v>2211314</v>
      </c>
      <c r="D229" s="464" t="s">
        <v>1083</v>
      </c>
      <c r="E229" s="472">
        <v>0</v>
      </c>
    </row>
    <row r="230" spans="1:5" ht="15" customHeight="1">
      <c r="A230" s="470"/>
      <c r="B230" s="470"/>
      <c r="C230" s="511">
        <v>2211329</v>
      </c>
      <c r="D230" s="464" t="s">
        <v>1084</v>
      </c>
      <c r="E230" s="472">
        <v>0</v>
      </c>
    </row>
    <row r="231" spans="1:7" ht="15" customHeight="1">
      <c r="A231" s="470"/>
      <c r="B231" s="470"/>
      <c r="C231" s="511">
        <v>2211399</v>
      </c>
      <c r="D231" s="464" t="s">
        <v>1074</v>
      </c>
      <c r="E231" s="472">
        <f>15000000+10000000</f>
        <v>25000000</v>
      </c>
      <c r="G231" s="616">
        <v>15000000</v>
      </c>
    </row>
    <row r="232" spans="1:5" ht="15" customHeight="1">
      <c r="A232" s="473"/>
      <c r="B232" s="473"/>
      <c r="C232" s="509">
        <v>2220100</v>
      </c>
      <c r="D232" s="468" t="s">
        <v>1086</v>
      </c>
      <c r="E232" s="471">
        <f>SUM(E233)</f>
        <v>10000000</v>
      </c>
    </row>
    <row r="233" spans="1:6" ht="15" customHeight="1">
      <c r="A233" s="470"/>
      <c r="B233" s="470"/>
      <c r="C233" s="510">
        <v>2220101</v>
      </c>
      <c r="D233" s="464" t="s">
        <v>1138</v>
      </c>
      <c r="E233" s="472">
        <f>8000000+2000000</f>
        <v>10000000</v>
      </c>
      <c r="F233" s="616">
        <v>8000000</v>
      </c>
    </row>
    <row r="234" spans="1:5" ht="15" customHeight="1">
      <c r="A234" s="473"/>
      <c r="B234" s="473"/>
      <c r="C234" s="509">
        <v>2220200</v>
      </c>
      <c r="D234" s="468" t="s">
        <v>1088</v>
      </c>
      <c r="E234" s="471">
        <f>SUM(E235:E241)</f>
        <v>2500000</v>
      </c>
    </row>
    <row r="235" spans="1:5" ht="15" customHeight="1">
      <c r="A235" s="470"/>
      <c r="B235" s="470"/>
      <c r="C235" s="510">
        <v>2220201</v>
      </c>
      <c r="D235" s="464" t="s">
        <v>1089</v>
      </c>
      <c r="E235" s="472">
        <v>0</v>
      </c>
    </row>
    <row r="236" spans="1:6" ht="15" customHeight="1">
      <c r="A236" s="470"/>
      <c r="B236" s="470"/>
      <c r="C236" s="510">
        <v>2220205</v>
      </c>
      <c r="D236" s="464" t="s">
        <v>1090</v>
      </c>
      <c r="E236" s="472">
        <v>2000000</v>
      </c>
      <c r="F236" s="616">
        <v>2000000</v>
      </c>
    </row>
    <row r="237" spans="1:5" ht="15" customHeight="1">
      <c r="A237" s="470"/>
      <c r="B237" s="470"/>
      <c r="C237" s="510">
        <v>2220206</v>
      </c>
      <c r="D237" s="464" t="s">
        <v>1091</v>
      </c>
      <c r="E237" s="472">
        <v>0</v>
      </c>
    </row>
    <row r="238" spans="1:5" ht="15" customHeight="1">
      <c r="A238" s="470"/>
      <c r="B238" s="470"/>
      <c r="C238" s="510">
        <v>2220207</v>
      </c>
      <c r="D238" s="464" t="s">
        <v>1092</v>
      </c>
      <c r="E238" s="472">
        <v>0</v>
      </c>
    </row>
    <row r="239" spans="1:6" ht="15" customHeight="1">
      <c r="A239" s="470"/>
      <c r="B239" s="470"/>
      <c r="C239" s="510">
        <v>2220210</v>
      </c>
      <c r="D239" s="464" t="s">
        <v>1093</v>
      </c>
      <c r="E239" s="472">
        <v>250000</v>
      </c>
      <c r="F239" s="616">
        <v>250000</v>
      </c>
    </row>
    <row r="240" spans="1:6" ht="15" customHeight="1">
      <c r="A240" s="470"/>
      <c r="B240" s="470"/>
      <c r="C240" s="510">
        <v>2220204</v>
      </c>
      <c r="D240" s="464" t="s">
        <v>1094</v>
      </c>
      <c r="E240" s="472">
        <v>250000</v>
      </c>
      <c r="F240" s="616">
        <v>250000</v>
      </c>
    </row>
    <row r="241" spans="1:5" ht="15" customHeight="1">
      <c r="A241" s="470"/>
      <c r="B241" s="470"/>
      <c r="C241" s="510">
        <v>2220299</v>
      </c>
      <c r="D241" s="464" t="s">
        <v>1088</v>
      </c>
      <c r="E241" s="472">
        <v>0</v>
      </c>
    </row>
    <row r="242" spans="1:5" ht="15" customHeight="1">
      <c r="A242" s="470"/>
      <c r="B242" s="470"/>
      <c r="C242" s="509">
        <v>2620100</v>
      </c>
      <c r="D242" s="468" t="s">
        <v>1095</v>
      </c>
      <c r="E242" s="471">
        <f>SUM(E243)</f>
        <v>0</v>
      </c>
    </row>
    <row r="243" spans="1:5" ht="15" customHeight="1">
      <c r="A243" s="470"/>
      <c r="B243" s="470"/>
      <c r="C243" s="510">
        <v>2620161</v>
      </c>
      <c r="D243" s="464" t="s">
        <v>1096</v>
      </c>
      <c r="E243" s="472">
        <v>0</v>
      </c>
    </row>
    <row r="244" spans="1:5" ht="15" customHeight="1">
      <c r="A244" s="470"/>
      <c r="B244" s="470"/>
      <c r="C244" s="509">
        <v>2640100</v>
      </c>
      <c r="D244" s="468" t="s">
        <v>1097</v>
      </c>
      <c r="E244" s="471">
        <f>SUM(E245:E246)</f>
        <v>0</v>
      </c>
    </row>
    <row r="245" spans="1:5" ht="15" customHeight="1">
      <c r="A245" s="470"/>
      <c r="B245" s="470"/>
      <c r="C245" s="510">
        <v>2640105</v>
      </c>
      <c r="D245" s="464" t="s">
        <v>1098</v>
      </c>
      <c r="E245" s="472">
        <v>0</v>
      </c>
    </row>
    <row r="246" spans="1:5" ht="15" customHeight="1">
      <c r="A246" s="470"/>
      <c r="B246" s="470"/>
      <c r="C246" s="510">
        <v>2649999</v>
      </c>
      <c r="D246" s="464" t="s">
        <v>1097</v>
      </c>
      <c r="E246" s="472">
        <v>0</v>
      </c>
    </row>
    <row r="247" spans="1:5" ht="15" customHeight="1">
      <c r="A247" s="470"/>
      <c r="B247" s="470"/>
      <c r="C247" s="509">
        <v>2640200</v>
      </c>
      <c r="D247" s="468" t="s">
        <v>1099</v>
      </c>
      <c r="E247" s="471">
        <f>SUM(E248)</f>
        <v>0</v>
      </c>
    </row>
    <row r="248" spans="1:5" ht="15" customHeight="1">
      <c r="A248" s="470"/>
      <c r="B248" s="470"/>
      <c r="C248" s="510">
        <v>2640299</v>
      </c>
      <c r="D248" s="464" t="s">
        <v>1139</v>
      </c>
      <c r="E248" s="472">
        <v>0</v>
      </c>
    </row>
    <row r="249" spans="1:5" ht="15" customHeight="1">
      <c r="A249" s="470"/>
      <c r="B249" s="470"/>
      <c r="C249" s="509">
        <v>2810200</v>
      </c>
      <c r="D249" s="468" t="s">
        <v>1101</v>
      </c>
      <c r="E249" s="471">
        <f>SUM(E250)</f>
        <v>0</v>
      </c>
    </row>
    <row r="250" spans="1:5" ht="15" customHeight="1">
      <c r="A250" s="470"/>
      <c r="B250" s="470"/>
      <c r="C250" s="510">
        <v>2810205</v>
      </c>
      <c r="D250" s="464" t="s">
        <v>1102</v>
      </c>
      <c r="E250" s="472">
        <v>0</v>
      </c>
    </row>
    <row r="251" spans="1:5" ht="15" customHeight="1">
      <c r="A251" s="470"/>
      <c r="B251" s="470"/>
      <c r="C251" s="509">
        <v>3110300</v>
      </c>
      <c r="D251" s="468" t="s">
        <v>1103</v>
      </c>
      <c r="E251" s="471">
        <f>SUM(E252:E253)</f>
        <v>2000000</v>
      </c>
    </row>
    <row r="252" spans="1:5" ht="15" customHeight="1">
      <c r="A252" s="470"/>
      <c r="B252" s="470"/>
      <c r="C252" s="510">
        <v>3110301</v>
      </c>
      <c r="D252" s="464" t="s">
        <v>1104</v>
      </c>
      <c r="E252" s="472">
        <v>0</v>
      </c>
    </row>
    <row r="253" spans="1:6" ht="15" customHeight="1">
      <c r="A253" s="470"/>
      <c r="B253" s="470"/>
      <c r="C253" s="510">
        <v>3110302</v>
      </c>
      <c r="D253" s="464" t="s">
        <v>1105</v>
      </c>
      <c r="E253" s="472">
        <v>2000000</v>
      </c>
      <c r="F253" s="616">
        <v>2000000</v>
      </c>
    </row>
    <row r="254" spans="1:5" ht="15" customHeight="1">
      <c r="A254" s="470"/>
      <c r="B254" s="470"/>
      <c r="C254" s="509">
        <v>2710100</v>
      </c>
      <c r="D254" s="468" t="s">
        <v>1106</v>
      </c>
      <c r="E254" s="471">
        <f>SUM(E255)</f>
        <v>8500000</v>
      </c>
    </row>
    <row r="255" spans="1:6" ht="15" customHeight="1">
      <c r="A255" s="470"/>
      <c r="B255" s="470"/>
      <c r="C255" s="509">
        <v>2710102</v>
      </c>
      <c r="D255" s="464" t="s">
        <v>1140</v>
      </c>
      <c r="E255" s="472">
        <v>8500000</v>
      </c>
      <c r="F255" s="616">
        <v>8500000</v>
      </c>
    </row>
    <row r="256" spans="1:5" ht="15" customHeight="1">
      <c r="A256" s="470"/>
      <c r="B256" s="470"/>
      <c r="C256" s="509">
        <v>3110700</v>
      </c>
      <c r="D256" s="468" t="s">
        <v>1108</v>
      </c>
      <c r="E256" s="471">
        <f>SUM(E257)</f>
        <v>0</v>
      </c>
    </row>
    <row r="257" spans="1:7" ht="15" customHeight="1">
      <c r="A257" s="470"/>
      <c r="B257" s="470"/>
      <c r="C257" s="510">
        <v>3110701</v>
      </c>
      <c r="D257" s="464" t="s">
        <v>1109</v>
      </c>
      <c r="E257" s="472">
        <v>0</v>
      </c>
      <c r="G257" s="616">
        <v>4000000</v>
      </c>
    </row>
    <row r="258" spans="1:5" ht="15" customHeight="1">
      <c r="A258" s="470"/>
      <c r="B258" s="470"/>
      <c r="C258" s="509">
        <v>3111000</v>
      </c>
      <c r="D258" s="468" t="s">
        <v>1110</v>
      </c>
      <c r="E258" s="471">
        <f>SUM(E259:E261)</f>
        <v>0</v>
      </c>
    </row>
    <row r="259" spans="1:5" ht="15" customHeight="1">
      <c r="A259" s="470"/>
      <c r="B259" s="470"/>
      <c r="C259" s="510">
        <v>3111001</v>
      </c>
      <c r="D259" s="464" t="s">
        <v>1111</v>
      </c>
      <c r="E259" s="472">
        <v>0</v>
      </c>
    </row>
    <row r="260" spans="1:5" ht="15" customHeight="1">
      <c r="A260" s="470"/>
      <c r="B260" s="470"/>
      <c r="C260" s="510">
        <v>3111002</v>
      </c>
      <c r="D260" s="464" t="s">
        <v>1112</v>
      </c>
      <c r="E260" s="472">
        <v>0</v>
      </c>
    </row>
    <row r="261" spans="1:5" ht="15" customHeight="1">
      <c r="A261" s="470"/>
      <c r="B261" s="470"/>
      <c r="C261" s="510">
        <v>3111006</v>
      </c>
      <c r="D261" s="464" t="s">
        <v>1141</v>
      </c>
      <c r="E261" s="472">
        <v>0</v>
      </c>
    </row>
    <row r="262" spans="1:5" ht="15" customHeight="1">
      <c r="A262" s="470"/>
      <c r="B262" s="470"/>
      <c r="C262" s="509">
        <v>3111300</v>
      </c>
      <c r="D262" s="468" t="s">
        <v>1142</v>
      </c>
      <c r="E262" s="471">
        <f>SUM(E263:E265)</f>
        <v>1000000</v>
      </c>
    </row>
    <row r="263" spans="1:5" ht="15" customHeight="1">
      <c r="A263" s="470"/>
      <c r="B263" s="470"/>
      <c r="C263" s="510">
        <v>3111301</v>
      </c>
      <c r="D263" s="464" t="s">
        <v>971</v>
      </c>
      <c r="E263" s="472"/>
    </row>
    <row r="264" spans="1:5" ht="15" customHeight="1">
      <c r="A264" s="470"/>
      <c r="B264" s="470"/>
      <c r="C264" s="510">
        <v>3111302</v>
      </c>
      <c r="D264" s="464" t="s">
        <v>1113</v>
      </c>
      <c r="E264" s="472"/>
    </row>
    <row r="265" spans="1:6" ht="15" customHeight="1">
      <c r="A265" s="470"/>
      <c r="B265" s="470"/>
      <c r="C265" s="510">
        <v>3111305</v>
      </c>
      <c r="D265" s="464" t="s">
        <v>1114</v>
      </c>
      <c r="E265" s="472">
        <v>1000000</v>
      </c>
      <c r="F265" s="616">
        <v>1000000</v>
      </c>
    </row>
    <row r="266" spans="1:5" ht="15" customHeight="1">
      <c r="A266" s="470"/>
      <c r="B266" s="470"/>
      <c r="C266" s="509">
        <v>3111400</v>
      </c>
      <c r="D266" s="468" t="s">
        <v>1119</v>
      </c>
      <c r="E266" s="471">
        <f>SUM(E267:E269)</f>
        <v>1300000</v>
      </c>
    </row>
    <row r="267" spans="1:5" ht="15" customHeight="1">
      <c r="A267" s="470"/>
      <c r="B267" s="470"/>
      <c r="C267" s="510">
        <v>3111401</v>
      </c>
      <c r="D267" s="464" t="s">
        <v>1115</v>
      </c>
      <c r="E267" s="472"/>
    </row>
    <row r="268" spans="1:5" ht="15" customHeight="1">
      <c r="A268" s="470"/>
      <c r="B268" s="470"/>
      <c r="C268" s="510">
        <v>3111403</v>
      </c>
      <c r="D268" s="464" t="s">
        <v>1116</v>
      </c>
      <c r="E268" s="472"/>
    </row>
    <row r="269" spans="1:6" ht="15" customHeight="1">
      <c r="A269" s="470"/>
      <c r="B269" s="470"/>
      <c r="C269" s="510">
        <v>3111499</v>
      </c>
      <c r="D269" s="464" t="s">
        <v>1117</v>
      </c>
      <c r="E269" s="472">
        <v>1300000</v>
      </c>
      <c r="F269" s="616">
        <v>1300000</v>
      </c>
    </row>
    <row r="270" spans="1:5" ht="15" customHeight="1">
      <c r="A270" s="470"/>
      <c r="B270" s="470"/>
      <c r="C270" s="510"/>
      <c r="D270" s="464"/>
      <c r="E270" s="472"/>
    </row>
    <row r="271" spans="1:8" ht="15" customHeight="1">
      <c r="A271" s="473"/>
      <c r="B271" s="473"/>
      <c r="C271" s="509">
        <v>2630201</v>
      </c>
      <c r="D271" s="468" t="s">
        <v>1143</v>
      </c>
      <c r="E271" s="474">
        <f>29000000-5000000+5000000</f>
        <v>29000000</v>
      </c>
      <c r="H271" s="616">
        <v>29000000</v>
      </c>
    </row>
    <row r="272" spans="1:9" ht="15" customHeight="1">
      <c r="A272" s="1375" t="s">
        <v>1144</v>
      </c>
      <c r="B272" s="1376"/>
      <c r="C272" s="1376"/>
      <c r="D272" s="1377"/>
      <c r="E272" s="508">
        <f>SUM(E271,E266,E262,E258,E254,E251,E249,E247,E244,E242,E234,E232,E221,E218,E214,E204,E199,E196,E186,E182,E176,E171,E167,E163,E159,E155,E146,E144,E142,E256)</f>
        <v>509341104.76</v>
      </c>
      <c r="F272" s="626">
        <f>SUM(F142:F271)</f>
        <v>297270096</v>
      </c>
      <c r="G272" s="626">
        <f>SUM(G142:G271)</f>
        <v>61400000</v>
      </c>
      <c r="H272" s="626">
        <f>SUM(H142:H271)</f>
        <v>29000000</v>
      </c>
      <c r="I272" s="626">
        <f>SUM(I142:I271)</f>
        <v>15000000</v>
      </c>
    </row>
    <row r="273" spans="1:5" ht="15" customHeight="1">
      <c r="A273" s="1378"/>
      <c r="B273" s="1379"/>
      <c r="C273" s="1379"/>
      <c r="D273" s="1379"/>
      <c r="E273" s="1380"/>
    </row>
    <row r="274" spans="1:5" ht="15" customHeight="1">
      <c r="A274" s="1381"/>
      <c r="B274" s="1382"/>
      <c r="C274" s="1382"/>
      <c r="D274" s="1382"/>
      <c r="E274" s="1383"/>
    </row>
    <row r="275" spans="1:5" ht="15" customHeight="1">
      <c r="A275" s="1349" t="s">
        <v>1120</v>
      </c>
      <c r="B275" s="1350"/>
      <c r="C275" s="1350"/>
      <c r="D275" s="1350"/>
      <c r="E275" s="1351"/>
    </row>
    <row r="276" spans="1:5" ht="15" customHeight="1">
      <c r="A276" s="1353" t="s">
        <v>1431</v>
      </c>
      <c r="B276" s="1354"/>
      <c r="C276" s="1354"/>
      <c r="D276" s="1354"/>
      <c r="E276" s="1354"/>
    </row>
    <row r="277" spans="1:5" ht="15" customHeight="1">
      <c r="A277" s="1352" t="s">
        <v>1253</v>
      </c>
      <c r="B277" s="1352"/>
      <c r="C277" s="1352"/>
      <c r="D277" s="1352"/>
      <c r="E277" s="1352"/>
    </row>
    <row r="278" spans="1:13" ht="2.25" customHeight="1">
      <c r="A278" s="1347" t="s">
        <v>1122</v>
      </c>
      <c r="B278" s="1345"/>
      <c r="C278" s="1346" t="s">
        <v>998</v>
      </c>
      <c r="D278" s="1347" t="s">
        <v>997</v>
      </c>
      <c r="E278" s="1355" t="s">
        <v>1432</v>
      </c>
      <c r="F278" s="619" t="s">
        <v>1355</v>
      </c>
      <c r="G278" s="619" t="s">
        <v>1356</v>
      </c>
      <c r="H278" s="619" t="s">
        <v>1357</v>
      </c>
      <c r="I278" s="619" t="s">
        <v>1358</v>
      </c>
      <c r="J278" s="619" t="s">
        <v>1359</v>
      </c>
      <c r="K278" s="619" t="s">
        <v>1360</v>
      </c>
      <c r="L278" s="619" t="s">
        <v>1361</v>
      </c>
      <c r="M278" s="620"/>
    </row>
    <row r="279" spans="1:5" ht="31.5" customHeight="1">
      <c r="A279" s="1347"/>
      <c r="B279" s="1345"/>
      <c r="C279" s="1346"/>
      <c r="D279" s="1347"/>
      <c r="E279" s="1355"/>
    </row>
    <row r="280" spans="1:5" ht="15" customHeight="1">
      <c r="A280" s="467"/>
      <c r="B280" s="467" t="s">
        <v>1123</v>
      </c>
      <c r="C280" s="509"/>
      <c r="D280" s="468"/>
      <c r="E280" s="475"/>
    </row>
    <row r="281" spans="1:5" ht="15" customHeight="1">
      <c r="A281" s="470"/>
      <c r="B281" s="470"/>
      <c r="C281" s="509">
        <v>2110100</v>
      </c>
      <c r="D281" s="468" t="s">
        <v>999</v>
      </c>
      <c r="E281" s="471">
        <f>E282</f>
        <v>58245023.86</v>
      </c>
    </row>
    <row r="282" spans="1:6" ht="15" customHeight="1">
      <c r="A282" s="470"/>
      <c r="B282" s="470"/>
      <c r="C282" s="510">
        <v>2110101</v>
      </c>
      <c r="D282" s="464" t="s">
        <v>1000</v>
      </c>
      <c r="E282" s="476">
        <f>('[1]Finance'!$H$81-469)*1.06+11529413</f>
        <v>58245023.86</v>
      </c>
      <c r="F282" s="616">
        <v>44071331</v>
      </c>
    </row>
    <row r="283" spans="1:5" ht="15" customHeight="1">
      <c r="A283" s="470"/>
      <c r="B283" s="470"/>
      <c r="C283" s="509">
        <v>2110200</v>
      </c>
      <c r="D283" s="468" t="s">
        <v>1001</v>
      </c>
      <c r="E283" s="471">
        <f>SUM(E284)</f>
        <v>5724000</v>
      </c>
    </row>
    <row r="284" spans="1:6" ht="15" customHeight="1">
      <c r="A284" s="470"/>
      <c r="B284" s="470"/>
      <c r="C284" s="510">
        <v>2110202</v>
      </c>
      <c r="D284" s="464" t="s">
        <v>1002</v>
      </c>
      <c r="E284" s="476">
        <f>5400000*1.06</f>
        <v>5724000</v>
      </c>
      <c r="F284" s="616">
        <v>5400000</v>
      </c>
    </row>
    <row r="285" spans="1:5" ht="15" customHeight="1">
      <c r="A285" s="470"/>
      <c r="B285" s="470"/>
      <c r="C285" s="509">
        <v>2110300</v>
      </c>
      <c r="D285" s="468" t="s">
        <v>1003</v>
      </c>
      <c r="E285" s="471">
        <f>SUM(E286:E294)</f>
        <v>26682706.9</v>
      </c>
    </row>
    <row r="286" spans="1:6" ht="15" customHeight="1">
      <c r="A286" s="470"/>
      <c r="B286" s="470"/>
      <c r="C286" s="510">
        <v>2110301</v>
      </c>
      <c r="D286" s="464" t="s">
        <v>1004</v>
      </c>
      <c r="E286" s="476">
        <f>('[1]Finance'!$H$83-2000000)*1.06</f>
        <v>9643456</v>
      </c>
      <c r="F286" s="616">
        <v>9097600</v>
      </c>
    </row>
    <row r="287" spans="1:5" ht="15" customHeight="1">
      <c r="A287" s="470"/>
      <c r="B287" s="470"/>
      <c r="C287" s="510">
        <v>2110302</v>
      </c>
      <c r="D287" s="464" t="s">
        <v>1005</v>
      </c>
      <c r="E287" s="476"/>
    </row>
    <row r="288" spans="1:5" ht="15" customHeight="1">
      <c r="A288" s="470"/>
      <c r="B288" s="470"/>
      <c r="C288" s="510">
        <v>2110303</v>
      </c>
      <c r="D288" s="464" t="s">
        <v>1006</v>
      </c>
      <c r="E288" s="476"/>
    </row>
    <row r="289" spans="1:6" ht="15" customHeight="1">
      <c r="A289" s="470"/>
      <c r="B289" s="470"/>
      <c r="C289" s="510">
        <v>2110314</v>
      </c>
      <c r="D289" s="464" t="s">
        <v>1007</v>
      </c>
      <c r="E289" s="476">
        <f>'[1]Finance'!$H$84*1.06</f>
        <v>6754320</v>
      </c>
      <c r="F289" s="461">
        <f>'[1]Finance'!$H$84</f>
        <v>6372000</v>
      </c>
    </row>
    <row r="290" spans="1:6" ht="15" customHeight="1">
      <c r="A290" s="470"/>
      <c r="B290" s="470"/>
      <c r="C290" s="510">
        <v>2110320</v>
      </c>
      <c r="D290" s="464" t="s">
        <v>1008</v>
      </c>
      <c r="E290" s="476">
        <f>('[1]Finance'!$H$85)*1.06</f>
        <v>614423.7000000001</v>
      </c>
      <c r="F290" s="461">
        <f>'[1]Finance'!$H$85</f>
        <v>579645</v>
      </c>
    </row>
    <row r="291" spans="1:6" ht="15" customHeight="1">
      <c r="A291" s="470"/>
      <c r="B291" s="470"/>
      <c r="C291" s="510">
        <v>2110307</v>
      </c>
      <c r="D291" s="464" t="s">
        <v>1124</v>
      </c>
      <c r="E291" s="476">
        <f>('[1]Finance'!$H$82)*1.06</f>
        <v>9670507.200000001</v>
      </c>
      <c r="F291" s="461">
        <f>'[1]Finance'!$H$82</f>
        <v>9123120</v>
      </c>
    </row>
    <row r="292" spans="1:5" ht="15" customHeight="1">
      <c r="A292" s="470"/>
      <c r="B292" s="470"/>
      <c r="C292" s="510">
        <v>2110321</v>
      </c>
      <c r="D292" s="464" t="s">
        <v>1009</v>
      </c>
      <c r="E292" s="476"/>
    </row>
    <row r="293" spans="1:5" ht="15" customHeight="1">
      <c r="A293" s="470"/>
      <c r="B293" s="470"/>
      <c r="C293" s="510">
        <v>2110322</v>
      </c>
      <c r="D293" s="464" t="s">
        <v>1010</v>
      </c>
      <c r="E293" s="476"/>
    </row>
    <row r="294" spans="1:5" ht="15" customHeight="1">
      <c r="A294" s="470"/>
      <c r="B294" s="470"/>
      <c r="C294" s="510">
        <v>2110333</v>
      </c>
      <c r="D294" s="464" t="s">
        <v>1011</v>
      </c>
      <c r="E294" s="476"/>
    </row>
    <row r="295" spans="1:5" ht="15" customHeight="1">
      <c r="A295" s="470"/>
      <c r="B295" s="470"/>
      <c r="C295" s="509">
        <v>2120100</v>
      </c>
      <c r="D295" s="468" t="s">
        <v>1012</v>
      </c>
      <c r="E295" s="471">
        <f>SUM(E296:E298)</f>
        <v>7007416.2</v>
      </c>
    </row>
    <row r="296" spans="1:5" ht="15" customHeight="1">
      <c r="A296" s="470"/>
      <c r="B296" s="470"/>
      <c r="C296" s="509">
        <v>2120101</v>
      </c>
      <c r="D296" s="464" t="s">
        <v>1013</v>
      </c>
      <c r="E296" s="476">
        <v>0</v>
      </c>
    </row>
    <row r="297" spans="1:5" ht="15" customHeight="1">
      <c r="A297" s="470"/>
      <c r="B297" s="470"/>
      <c r="C297" s="510">
        <v>2120102</v>
      </c>
      <c r="D297" s="464" t="s">
        <v>1125</v>
      </c>
      <c r="E297" s="476">
        <v>0</v>
      </c>
    </row>
    <row r="298" spans="1:6" ht="15" customHeight="1">
      <c r="A298" s="470"/>
      <c r="B298" s="470"/>
      <c r="C298" s="510">
        <v>2120103</v>
      </c>
      <c r="D298" s="464" t="s">
        <v>1126</v>
      </c>
      <c r="E298" s="476">
        <f>('[1]Finance'!$H$86)*1.06</f>
        <v>7007416.2</v>
      </c>
      <c r="F298" s="621">
        <f>'[1]Finance'!$H$86</f>
        <v>6610770</v>
      </c>
    </row>
    <row r="299" spans="1:6" ht="15" customHeight="1">
      <c r="A299" s="470"/>
      <c r="B299" s="470"/>
      <c r="C299" s="509">
        <v>2210100</v>
      </c>
      <c r="D299" s="468" t="s">
        <v>1015</v>
      </c>
      <c r="E299" s="471">
        <f>SUM(E300:E302)</f>
        <v>500000</v>
      </c>
      <c r="F299" s="617"/>
    </row>
    <row r="300" spans="1:6" ht="15" customHeight="1">
      <c r="A300" s="470"/>
      <c r="B300" s="470"/>
      <c r="C300" s="510">
        <v>2210101</v>
      </c>
      <c r="D300" s="464" t="s">
        <v>1016</v>
      </c>
      <c r="E300" s="476">
        <v>200000</v>
      </c>
      <c r="F300" s="621">
        <v>200000</v>
      </c>
    </row>
    <row r="301" spans="1:6" ht="15" customHeight="1">
      <c r="A301" s="470"/>
      <c r="B301" s="470"/>
      <c r="C301" s="510">
        <v>2210102</v>
      </c>
      <c r="D301" s="464" t="s">
        <v>1017</v>
      </c>
      <c r="E301" s="476">
        <v>300000</v>
      </c>
      <c r="F301" s="621">
        <v>300000</v>
      </c>
    </row>
    <row r="302" spans="1:6" ht="15" customHeight="1">
      <c r="A302" s="470"/>
      <c r="B302" s="470"/>
      <c r="C302" s="510">
        <v>2210106</v>
      </c>
      <c r="D302" s="464" t="s">
        <v>1018</v>
      </c>
      <c r="E302" s="476"/>
      <c r="F302" s="617"/>
    </row>
    <row r="303" spans="1:6" ht="15" customHeight="1">
      <c r="A303" s="470"/>
      <c r="B303" s="470"/>
      <c r="C303" s="509">
        <v>2210200</v>
      </c>
      <c r="D303" s="468" t="s">
        <v>1019</v>
      </c>
      <c r="E303" s="471">
        <f>SUM(E304:E306)</f>
        <v>1000000</v>
      </c>
      <c r="F303" s="617"/>
    </row>
    <row r="304" spans="1:6" ht="15" customHeight="1">
      <c r="A304" s="470"/>
      <c r="B304" s="470"/>
      <c r="C304" s="510">
        <v>2210201</v>
      </c>
      <c r="D304" s="464" t="s">
        <v>1020</v>
      </c>
      <c r="E304" s="476">
        <v>500000</v>
      </c>
      <c r="F304" s="621">
        <v>500000</v>
      </c>
    </row>
    <row r="305" spans="1:7" ht="15" customHeight="1">
      <c r="A305" s="470"/>
      <c r="B305" s="470"/>
      <c r="C305" s="510">
        <v>2210202</v>
      </c>
      <c r="D305" s="464" t="s">
        <v>1021</v>
      </c>
      <c r="E305" s="476">
        <v>500000</v>
      </c>
      <c r="F305" s="621"/>
      <c r="G305" s="616">
        <v>500000</v>
      </c>
    </row>
    <row r="306" spans="1:5" ht="15" customHeight="1">
      <c r="A306" s="470"/>
      <c r="B306" s="470"/>
      <c r="C306" s="510">
        <v>2210206</v>
      </c>
      <c r="D306" s="464" t="s">
        <v>1022</v>
      </c>
      <c r="E306" s="471">
        <v>0</v>
      </c>
    </row>
    <row r="307" spans="1:5" ht="15" customHeight="1">
      <c r="A307" s="470"/>
      <c r="B307" s="470"/>
      <c r="C307" s="509">
        <v>2210300</v>
      </c>
      <c r="D307" s="468" t="s">
        <v>1023</v>
      </c>
      <c r="E307" s="471">
        <f>SUM(E308:E310)</f>
        <v>6850000</v>
      </c>
    </row>
    <row r="308" spans="1:8" ht="15" customHeight="1">
      <c r="A308" s="470"/>
      <c r="B308" s="470"/>
      <c r="C308" s="510">
        <v>2210301</v>
      </c>
      <c r="D308" s="464" t="s">
        <v>1024</v>
      </c>
      <c r="E308" s="476">
        <v>2100000</v>
      </c>
      <c r="H308" s="616">
        <v>2100000</v>
      </c>
    </row>
    <row r="309" spans="1:9" ht="15" customHeight="1">
      <c r="A309" s="470"/>
      <c r="B309" s="470"/>
      <c r="C309" s="510">
        <v>2210302</v>
      </c>
      <c r="D309" s="464" t="s">
        <v>1025</v>
      </c>
      <c r="E309" s="476">
        <v>2250000</v>
      </c>
      <c r="I309" s="616">
        <v>2250000</v>
      </c>
    </row>
    <row r="310" spans="1:11" ht="15" customHeight="1">
      <c r="A310" s="470"/>
      <c r="B310" s="470"/>
      <c r="C310" s="510">
        <v>2210303</v>
      </c>
      <c r="D310" s="464" t="s">
        <v>1026</v>
      </c>
      <c r="E310" s="476">
        <v>2500000</v>
      </c>
      <c r="K310" s="616">
        <v>2500000</v>
      </c>
    </row>
    <row r="311" spans="1:8" ht="15" customHeight="1">
      <c r="A311" s="470"/>
      <c r="B311" s="470"/>
      <c r="C311" s="460">
        <v>2210400</v>
      </c>
      <c r="D311" s="486" t="s">
        <v>1127</v>
      </c>
      <c r="E311" s="471">
        <f>SUM(E312:E315)</f>
        <v>0</v>
      </c>
      <c r="H311" s="616">
        <v>350000</v>
      </c>
    </row>
    <row r="312" spans="1:9" ht="15" customHeight="1">
      <c r="A312" s="470"/>
      <c r="B312" s="470"/>
      <c r="C312" s="459">
        <v>2210401</v>
      </c>
      <c r="D312" s="487" t="s">
        <v>1024</v>
      </c>
      <c r="E312" s="476">
        <v>0</v>
      </c>
      <c r="I312" s="616">
        <v>500000</v>
      </c>
    </row>
    <row r="313" spans="1:11" ht="15" customHeight="1">
      <c r="A313" s="470"/>
      <c r="B313" s="470"/>
      <c r="C313" s="459">
        <v>2210402</v>
      </c>
      <c r="D313" s="487" t="s">
        <v>1128</v>
      </c>
      <c r="E313" s="476">
        <v>0</v>
      </c>
      <c r="K313" s="616">
        <v>400000</v>
      </c>
    </row>
    <row r="314" spans="1:12" ht="15" customHeight="1">
      <c r="A314" s="470"/>
      <c r="B314" s="470"/>
      <c r="C314" s="459">
        <v>2210403</v>
      </c>
      <c r="D314" s="487" t="s">
        <v>1129</v>
      </c>
      <c r="E314" s="476">
        <v>0</v>
      </c>
      <c r="L314" s="616">
        <v>100000</v>
      </c>
    </row>
    <row r="315" spans="1:5" ht="15" customHeight="1">
      <c r="A315" s="470"/>
      <c r="B315" s="470"/>
      <c r="C315" s="459">
        <v>2210404</v>
      </c>
      <c r="D315" s="487" t="s">
        <v>1130</v>
      </c>
      <c r="E315" s="476">
        <v>0</v>
      </c>
    </row>
    <row r="316" spans="1:5" ht="15" customHeight="1">
      <c r="A316" s="473"/>
      <c r="B316" s="473"/>
      <c r="C316" s="509">
        <v>2210500</v>
      </c>
      <c r="D316" s="468" t="s">
        <v>1029</v>
      </c>
      <c r="E316" s="471">
        <f>SUM(E317:E321)</f>
        <v>6200000</v>
      </c>
    </row>
    <row r="317" spans="1:11" ht="15" customHeight="1">
      <c r="A317" s="470"/>
      <c r="B317" s="470"/>
      <c r="C317" s="510">
        <v>2210502</v>
      </c>
      <c r="D317" s="464" t="s">
        <v>1030</v>
      </c>
      <c r="E317" s="476">
        <v>3000000</v>
      </c>
      <c r="K317" s="616">
        <v>4000000</v>
      </c>
    </row>
    <row r="318" spans="1:6" ht="15" customHeight="1">
      <c r="A318" s="470"/>
      <c r="B318" s="470"/>
      <c r="C318" s="510">
        <v>2210503</v>
      </c>
      <c r="D318" s="464" t="s">
        <v>1031</v>
      </c>
      <c r="E318" s="476">
        <v>200000</v>
      </c>
      <c r="F318" s="616">
        <v>200000</v>
      </c>
    </row>
    <row r="319" spans="1:9" ht="15" customHeight="1">
      <c r="A319" s="470"/>
      <c r="B319" s="470"/>
      <c r="C319" s="510">
        <v>2210504</v>
      </c>
      <c r="D319" s="464" t="s">
        <v>2012</v>
      </c>
      <c r="E319" s="476">
        <v>3000000</v>
      </c>
      <c r="I319" s="616">
        <v>5300000</v>
      </c>
    </row>
    <row r="320" spans="1:5" ht="15" customHeight="1">
      <c r="A320" s="470"/>
      <c r="B320" s="470"/>
      <c r="C320" s="510">
        <v>2210505</v>
      </c>
      <c r="D320" s="464" t="s">
        <v>1033</v>
      </c>
      <c r="E320" s="476"/>
    </row>
    <row r="321" spans="1:5" ht="15" customHeight="1">
      <c r="A321" s="470"/>
      <c r="B321" s="470"/>
      <c r="C321" s="510">
        <v>2210599</v>
      </c>
      <c r="D321" s="464" t="s">
        <v>1034</v>
      </c>
      <c r="E321" s="960">
        <v>0</v>
      </c>
    </row>
    <row r="322" spans="1:5" ht="15" customHeight="1">
      <c r="A322" s="470"/>
      <c r="B322" s="470"/>
      <c r="C322" s="509">
        <v>2210600</v>
      </c>
      <c r="D322" s="468" t="s">
        <v>1035</v>
      </c>
      <c r="E322" s="471">
        <f>SUM(E323:E325)</f>
        <v>2000000</v>
      </c>
    </row>
    <row r="323" spans="1:5" ht="15" customHeight="1">
      <c r="A323" s="470"/>
      <c r="B323" s="470"/>
      <c r="C323" s="510">
        <v>2210602</v>
      </c>
      <c r="D323" s="464" t="s">
        <v>1036</v>
      </c>
      <c r="E323" s="476"/>
    </row>
    <row r="324" spans="1:5" ht="15" customHeight="1">
      <c r="A324" s="470"/>
      <c r="B324" s="470"/>
      <c r="C324" s="510">
        <v>2210603</v>
      </c>
      <c r="D324" s="464" t="s">
        <v>1037</v>
      </c>
      <c r="E324" s="476"/>
    </row>
    <row r="325" spans="1:8" ht="15" customHeight="1">
      <c r="A325" s="470"/>
      <c r="B325" s="470"/>
      <c r="C325" s="510">
        <v>2210604</v>
      </c>
      <c r="D325" s="464" t="s">
        <v>1038</v>
      </c>
      <c r="E325" s="476">
        <v>2000000</v>
      </c>
      <c r="H325" s="616">
        <v>2000000</v>
      </c>
    </row>
    <row r="326" spans="1:5" ht="15" customHeight="1">
      <c r="A326" s="470"/>
      <c r="B326" s="470"/>
      <c r="C326" s="509">
        <v>2210700</v>
      </c>
      <c r="D326" s="468" t="s">
        <v>1039</v>
      </c>
      <c r="E326" s="471">
        <f>SUM(E327:E335)</f>
        <v>5105561</v>
      </c>
    </row>
    <row r="327" spans="1:5" ht="15" customHeight="1">
      <c r="A327" s="470"/>
      <c r="B327" s="470"/>
      <c r="C327" s="510">
        <v>2210701</v>
      </c>
      <c r="D327" s="464" t="s">
        <v>1040</v>
      </c>
      <c r="E327" s="476">
        <v>1105561</v>
      </c>
    </row>
    <row r="328" spans="1:5" ht="15" customHeight="1">
      <c r="A328" s="470"/>
      <c r="B328" s="470"/>
      <c r="C328" s="510">
        <v>2210702</v>
      </c>
      <c r="D328" s="464" t="s">
        <v>1041</v>
      </c>
      <c r="E328" s="476"/>
    </row>
    <row r="329" spans="1:5" ht="15" customHeight="1">
      <c r="A329" s="470"/>
      <c r="B329" s="470"/>
      <c r="C329" s="510">
        <v>2210703</v>
      </c>
      <c r="D329" s="464" t="s">
        <v>1042</v>
      </c>
      <c r="E329" s="476"/>
    </row>
    <row r="330" spans="1:9" ht="15" customHeight="1">
      <c r="A330" s="470"/>
      <c r="B330" s="470"/>
      <c r="C330" s="510">
        <v>2210704</v>
      </c>
      <c r="D330" s="464" t="s">
        <v>1043</v>
      </c>
      <c r="E330" s="476">
        <v>500000</v>
      </c>
      <c r="I330" s="616">
        <v>500000</v>
      </c>
    </row>
    <row r="331" spans="1:9" ht="15" customHeight="1">
      <c r="A331" s="470"/>
      <c r="B331" s="470"/>
      <c r="C331" s="510">
        <v>2210710</v>
      </c>
      <c r="D331" s="464" t="s">
        <v>1044</v>
      </c>
      <c r="E331" s="476">
        <v>1500000</v>
      </c>
      <c r="I331" s="616">
        <v>1500000</v>
      </c>
    </row>
    <row r="332" spans="1:5" ht="15" customHeight="1">
      <c r="A332" s="470"/>
      <c r="B332" s="470"/>
      <c r="C332" s="510">
        <v>2210711</v>
      </c>
      <c r="D332" s="464" t="s">
        <v>1045</v>
      </c>
      <c r="E332" s="476"/>
    </row>
    <row r="333" spans="1:5" ht="15" customHeight="1">
      <c r="A333" s="470"/>
      <c r="B333" s="470"/>
      <c r="C333" s="510">
        <v>2210713</v>
      </c>
      <c r="D333" s="464" t="s">
        <v>1046</v>
      </c>
      <c r="E333" s="476"/>
    </row>
    <row r="334" spans="1:5" ht="15" customHeight="1">
      <c r="A334" s="470"/>
      <c r="B334" s="470"/>
      <c r="C334" s="510">
        <v>2210714</v>
      </c>
      <c r="D334" s="464" t="s">
        <v>1949</v>
      </c>
      <c r="E334" s="476">
        <v>0</v>
      </c>
    </row>
    <row r="335" spans="1:9" ht="15" customHeight="1">
      <c r="A335" s="470"/>
      <c r="B335" s="470"/>
      <c r="C335" s="510">
        <v>2210799</v>
      </c>
      <c r="D335" s="464" t="s">
        <v>1039</v>
      </c>
      <c r="E335" s="476">
        <v>2000000</v>
      </c>
      <c r="I335" s="616">
        <v>2000000</v>
      </c>
    </row>
    <row r="336" spans="1:5" ht="15" customHeight="1">
      <c r="A336" s="470"/>
      <c r="B336" s="470"/>
      <c r="C336" s="509">
        <v>2210800</v>
      </c>
      <c r="D336" s="468" t="s">
        <v>1049</v>
      </c>
      <c r="E336" s="471">
        <f>SUM(E337:E338)</f>
        <v>38400000</v>
      </c>
    </row>
    <row r="337" spans="1:6" ht="15" customHeight="1">
      <c r="A337" s="470"/>
      <c r="B337" s="470"/>
      <c r="C337" s="510">
        <v>2210801</v>
      </c>
      <c r="D337" s="464" t="s">
        <v>1050</v>
      </c>
      <c r="E337" s="476">
        <f>3400000+15000000</f>
        <v>18400000</v>
      </c>
      <c r="F337" s="616">
        <v>3400000</v>
      </c>
    </row>
    <row r="338" spans="1:6" ht="15" customHeight="1">
      <c r="A338" s="470"/>
      <c r="B338" s="470"/>
      <c r="C338" s="510">
        <v>2210802</v>
      </c>
      <c r="D338" s="464" t="s">
        <v>1131</v>
      </c>
      <c r="E338" s="476">
        <f>5000000+15000000</f>
        <v>20000000</v>
      </c>
      <c r="F338" s="616">
        <v>5000000</v>
      </c>
    </row>
    <row r="339" spans="1:5" ht="15" customHeight="1">
      <c r="A339" s="470"/>
      <c r="B339" s="470"/>
      <c r="C339" s="509">
        <v>2210900</v>
      </c>
      <c r="D339" s="468" t="s">
        <v>1052</v>
      </c>
      <c r="E339" s="471">
        <f>SUM(E340:E343)</f>
        <v>30000000</v>
      </c>
    </row>
    <row r="340" spans="1:5" ht="15" customHeight="1">
      <c r="A340" s="470"/>
      <c r="B340" s="470"/>
      <c r="C340" s="510">
        <v>2210901</v>
      </c>
      <c r="D340" s="464" t="s">
        <v>1053</v>
      </c>
      <c r="E340" s="476"/>
    </row>
    <row r="341" spans="1:5" ht="15" customHeight="1">
      <c r="A341" s="470"/>
      <c r="B341" s="470"/>
      <c r="C341" s="510">
        <v>2210902</v>
      </c>
      <c r="D341" s="464" t="s">
        <v>1054</v>
      </c>
      <c r="E341" s="476">
        <v>0</v>
      </c>
    </row>
    <row r="342" spans="1:6" ht="15" customHeight="1">
      <c r="A342" s="470"/>
      <c r="B342" s="470"/>
      <c r="C342" s="510">
        <v>2210904</v>
      </c>
      <c r="D342" s="464" t="s">
        <v>1055</v>
      </c>
      <c r="E342" s="476">
        <v>30000000</v>
      </c>
      <c r="F342" s="616">
        <v>20000000</v>
      </c>
    </row>
    <row r="343" spans="1:5" ht="15" customHeight="1">
      <c r="A343" s="470"/>
      <c r="B343" s="470"/>
      <c r="C343" s="510">
        <v>2210910</v>
      </c>
      <c r="D343" s="464" t="s">
        <v>1056</v>
      </c>
      <c r="E343" s="476"/>
    </row>
    <row r="344" spans="1:5" ht="15" customHeight="1">
      <c r="A344" s="470"/>
      <c r="B344" s="470"/>
      <c r="C344" s="509">
        <v>2211000</v>
      </c>
      <c r="D344" s="468" t="s">
        <v>1057</v>
      </c>
      <c r="E344" s="471">
        <f>SUM(E345:E353)</f>
        <v>400000</v>
      </c>
    </row>
    <row r="345" spans="1:5" ht="15" customHeight="1">
      <c r="A345" s="470"/>
      <c r="B345" s="470"/>
      <c r="C345" s="510">
        <v>2211001</v>
      </c>
      <c r="D345" s="464" t="s">
        <v>1058</v>
      </c>
      <c r="E345" s="471"/>
    </row>
    <row r="346" spans="1:5" ht="15" customHeight="1">
      <c r="A346" s="470"/>
      <c r="B346" s="470"/>
      <c r="C346" s="510">
        <v>2211003</v>
      </c>
      <c r="D346" s="464" t="s">
        <v>1132</v>
      </c>
      <c r="E346" s="471"/>
    </row>
    <row r="347" spans="1:5" ht="15" customHeight="1">
      <c r="A347" s="470"/>
      <c r="B347" s="470"/>
      <c r="C347" s="510">
        <v>2211004</v>
      </c>
      <c r="D347" s="464" t="s">
        <v>1060</v>
      </c>
      <c r="E347" s="471"/>
    </row>
    <row r="348" spans="1:6" ht="15" customHeight="1">
      <c r="A348" s="470"/>
      <c r="B348" s="470"/>
      <c r="C348" s="510">
        <v>2211006</v>
      </c>
      <c r="D348" s="464" t="s">
        <v>1061</v>
      </c>
      <c r="E348" s="476">
        <v>100000</v>
      </c>
      <c r="F348" s="616">
        <v>100000</v>
      </c>
    </row>
    <row r="349" spans="1:5" ht="15" customHeight="1">
      <c r="A349" s="470"/>
      <c r="B349" s="470"/>
      <c r="C349" s="510">
        <v>2211007</v>
      </c>
      <c r="D349" s="464" t="s">
        <v>1133</v>
      </c>
      <c r="E349" s="476"/>
    </row>
    <row r="350" spans="1:5" ht="15" customHeight="1">
      <c r="A350" s="470"/>
      <c r="B350" s="470"/>
      <c r="C350" s="510">
        <v>2211015</v>
      </c>
      <c r="D350" s="464" t="s">
        <v>1063</v>
      </c>
      <c r="E350" s="476"/>
    </row>
    <row r="351" spans="1:8" ht="15" customHeight="1">
      <c r="A351" s="470"/>
      <c r="B351" s="470"/>
      <c r="C351" s="510">
        <v>2211016</v>
      </c>
      <c r="D351" s="464" t="s">
        <v>1064</v>
      </c>
      <c r="E351" s="476">
        <v>300000</v>
      </c>
      <c r="H351" s="616">
        <v>300000</v>
      </c>
    </row>
    <row r="352" spans="1:5" ht="15" customHeight="1">
      <c r="A352" s="470"/>
      <c r="B352" s="470"/>
      <c r="C352" s="510">
        <v>2211023</v>
      </c>
      <c r="D352" s="464" t="s">
        <v>1065</v>
      </c>
      <c r="E352" s="476"/>
    </row>
    <row r="353" spans="1:5" ht="15" customHeight="1">
      <c r="A353" s="470"/>
      <c r="B353" s="470"/>
      <c r="C353" s="510">
        <v>2211026</v>
      </c>
      <c r="D353" s="464" t="s">
        <v>1134</v>
      </c>
      <c r="E353" s="476"/>
    </row>
    <row r="354" spans="1:5" ht="15" customHeight="1">
      <c r="A354" s="470"/>
      <c r="B354" s="470"/>
      <c r="C354" s="509">
        <v>2211100</v>
      </c>
      <c r="D354" s="468" t="s">
        <v>1067</v>
      </c>
      <c r="E354" s="471">
        <f>SUM(E355:E357)</f>
        <v>4300000</v>
      </c>
    </row>
    <row r="355" spans="1:6" ht="15" customHeight="1">
      <c r="A355" s="470"/>
      <c r="B355" s="470"/>
      <c r="C355" s="510">
        <v>2211101</v>
      </c>
      <c r="D355" s="464" t="s">
        <v>1135</v>
      </c>
      <c r="E355" s="476">
        <v>3000000</v>
      </c>
      <c r="F355" s="616">
        <v>3000000</v>
      </c>
    </row>
    <row r="356" spans="1:6" ht="15" customHeight="1">
      <c r="A356" s="470"/>
      <c r="B356" s="470"/>
      <c r="C356" s="510">
        <v>2211102</v>
      </c>
      <c r="D356" s="464" t="s">
        <v>1069</v>
      </c>
      <c r="E356" s="476">
        <v>500000</v>
      </c>
      <c r="F356" s="616">
        <v>500000</v>
      </c>
    </row>
    <row r="357" spans="1:6" ht="15" customHeight="1">
      <c r="A357" s="470"/>
      <c r="B357" s="470"/>
      <c r="C357" s="510">
        <v>2211103</v>
      </c>
      <c r="D357" s="464" t="s">
        <v>1070</v>
      </c>
      <c r="E357" s="476">
        <v>800000</v>
      </c>
      <c r="F357" s="616">
        <v>800000</v>
      </c>
    </row>
    <row r="358" spans="1:5" ht="15" customHeight="1">
      <c r="A358" s="470"/>
      <c r="B358" s="470"/>
      <c r="C358" s="509">
        <v>2211200</v>
      </c>
      <c r="D358" s="468" t="s">
        <v>1071</v>
      </c>
      <c r="E358" s="471">
        <f>SUM(E359:E360)</f>
        <v>4350000</v>
      </c>
    </row>
    <row r="359" spans="1:6" ht="15" customHeight="1">
      <c r="A359" s="470"/>
      <c r="B359" s="470"/>
      <c r="C359" s="510">
        <v>2211201</v>
      </c>
      <c r="D359" s="464" t="s">
        <v>1072</v>
      </c>
      <c r="E359" s="476">
        <f>6200000-2500000</f>
        <v>3700000</v>
      </c>
      <c r="F359" s="616">
        <v>3700000</v>
      </c>
    </row>
    <row r="360" spans="1:5" ht="15" customHeight="1">
      <c r="A360" s="470"/>
      <c r="B360" s="470"/>
      <c r="C360" s="510">
        <v>2211201</v>
      </c>
      <c r="D360" s="464" t="s">
        <v>1136</v>
      </c>
      <c r="E360" s="476">
        <v>650000</v>
      </c>
    </row>
    <row r="361" spans="1:5" ht="15" customHeight="1">
      <c r="A361" s="473"/>
      <c r="B361" s="473"/>
      <c r="C361" s="509">
        <v>2211300</v>
      </c>
      <c r="D361" s="468" t="s">
        <v>1074</v>
      </c>
      <c r="E361" s="471">
        <f>SUM(E362:E370)</f>
        <v>39300000</v>
      </c>
    </row>
    <row r="362" spans="1:6" ht="15" customHeight="1">
      <c r="A362" s="470"/>
      <c r="B362" s="470"/>
      <c r="C362" s="511">
        <v>2211301</v>
      </c>
      <c r="D362" s="464" t="s">
        <v>1075</v>
      </c>
      <c r="E362" s="476">
        <v>200000</v>
      </c>
      <c r="F362" s="616">
        <v>200000</v>
      </c>
    </row>
    <row r="363" spans="1:5" ht="15" customHeight="1">
      <c r="A363" s="470"/>
      <c r="B363" s="470"/>
      <c r="C363" s="511">
        <v>2211304</v>
      </c>
      <c r="D363" s="464" t="s">
        <v>1076</v>
      </c>
      <c r="E363" s="476"/>
    </row>
    <row r="364" spans="1:5" ht="15" customHeight="1">
      <c r="A364" s="470"/>
      <c r="B364" s="470"/>
      <c r="C364" s="511">
        <v>2211308</v>
      </c>
      <c r="D364" s="464" t="s">
        <v>1077</v>
      </c>
      <c r="E364" s="476"/>
    </row>
    <row r="365" spans="1:5" ht="15" customHeight="1">
      <c r="A365" s="470"/>
      <c r="B365" s="470"/>
      <c r="C365" s="511">
        <v>2211309</v>
      </c>
      <c r="D365" s="464" t="s">
        <v>1078</v>
      </c>
      <c r="E365" s="476"/>
    </row>
    <row r="366" spans="1:9" ht="15" customHeight="1">
      <c r="A366" s="470"/>
      <c r="B366" s="470"/>
      <c r="C366" s="511">
        <v>2211310</v>
      </c>
      <c r="D366" s="464" t="s">
        <v>1137</v>
      </c>
      <c r="E366" s="476">
        <v>2000000</v>
      </c>
      <c r="I366" s="616">
        <v>2000000</v>
      </c>
    </row>
    <row r="367" spans="1:9" ht="15" customHeight="1">
      <c r="A367" s="470"/>
      <c r="B367" s="470"/>
      <c r="C367" s="511">
        <v>2211311</v>
      </c>
      <c r="D367" s="464" t="s">
        <v>1080</v>
      </c>
      <c r="E367" s="476">
        <v>1600000</v>
      </c>
      <c r="I367" s="616">
        <v>1600000</v>
      </c>
    </row>
    <row r="368" spans="1:5" ht="15" customHeight="1">
      <c r="A368" s="470"/>
      <c r="B368" s="470"/>
      <c r="C368" s="511">
        <v>2211313</v>
      </c>
      <c r="D368" s="464" t="s">
        <v>1082</v>
      </c>
      <c r="E368" s="476">
        <v>0</v>
      </c>
    </row>
    <row r="369" spans="1:5" ht="15" customHeight="1">
      <c r="A369" s="470"/>
      <c r="B369" s="470"/>
      <c r="C369" s="511">
        <v>2211329</v>
      </c>
      <c r="D369" s="464" t="s">
        <v>1084</v>
      </c>
      <c r="E369" s="476"/>
    </row>
    <row r="370" spans="1:11" ht="15" customHeight="1">
      <c r="A370" s="470"/>
      <c r="B370" s="470"/>
      <c r="C370" s="511">
        <v>2211399</v>
      </c>
      <c r="D370" s="464" t="s">
        <v>1074</v>
      </c>
      <c r="E370" s="476">
        <f>24000000-2500000-5000000-5000000-1000000+25000000</f>
        <v>35500000</v>
      </c>
      <c r="K370" s="616">
        <v>7000000</v>
      </c>
    </row>
    <row r="371" spans="1:5" ht="15" customHeight="1">
      <c r="A371" s="473"/>
      <c r="B371" s="473"/>
      <c r="C371" s="509">
        <v>2220100</v>
      </c>
      <c r="D371" s="468" t="s">
        <v>1086</v>
      </c>
      <c r="E371" s="471">
        <f>SUM(E372)</f>
        <v>2000000</v>
      </c>
    </row>
    <row r="372" spans="1:6" ht="15" customHeight="1">
      <c r="A372" s="470"/>
      <c r="B372" s="470"/>
      <c r="C372" s="510">
        <v>2220101</v>
      </c>
      <c r="D372" s="464" t="s">
        <v>1138</v>
      </c>
      <c r="E372" s="476">
        <v>2000000</v>
      </c>
      <c r="F372" s="616">
        <v>2000000</v>
      </c>
    </row>
    <row r="373" spans="1:5" ht="15" customHeight="1">
      <c r="A373" s="473"/>
      <c r="B373" s="473"/>
      <c r="C373" s="509">
        <v>2220200</v>
      </c>
      <c r="D373" s="468" t="s">
        <v>1088</v>
      </c>
      <c r="E373" s="471">
        <f>SUM(E374:E381)</f>
        <v>1000000</v>
      </c>
    </row>
    <row r="374" spans="1:5" ht="15" customHeight="1">
      <c r="A374" s="470"/>
      <c r="B374" s="470"/>
      <c r="C374" s="510">
        <v>2220201</v>
      </c>
      <c r="D374" s="464" t="s">
        <v>1089</v>
      </c>
      <c r="E374" s="476"/>
    </row>
    <row r="375" spans="1:6" ht="15" customHeight="1">
      <c r="A375" s="470"/>
      <c r="B375" s="470"/>
      <c r="C375" s="510">
        <v>2220205</v>
      </c>
      <c r="D375" s="464" t="s">
        <v>1090</v>
      </c>
      <c r="E375" s="476">
        <v>400000</v>
      </c>
      <c r="F375" s="616">
        <v>1400000</v>
      </c>
    </row>
    <row r="376" spans="1:5" ht="15" customHeight="1">
      <c r="A376" s="470"/>
      <c r="B376" s="470"/>
      <c r="C376" s="510">
        <v>2220206</v>
      </c>
      <c r="D376" s="464" t="s">
        <v>1091</v>
      </c>
      <c r="E376" s="476"/>
    </row>
    <row r="377" spans="1:5" ht="15" customHeight="1">
      <c r="A377" s="470"/>
      <c r="B377" s="470"/>
      <c r="C377" s="510">
        <v>2220207</v>
      </c>
      <c r="D377" s="464" t="s">
        <v>1092</v>
      </c>
      <c r="E377" s="476"/>
    </row>
    <row r="378" spans="1:6" ht="15" customHeight="1">
      <c r="A378" s="470"/>
      <c r="B378" s="470"/>
      <c r="C378" s="510">
        <v>2220210</v>
      </c>
      <c r="D378" s="464" t="s">
        <v>1093</v>
      </c>
      <c r="E378" s="476">
        <v>300000</v>
      </c>
      <c r="F378" s="616">
        <v>300000</v>
      </c>
    </row>
    <row r="379" spans="1:6" ht="15" customHeight="1">
      <c r="A379" s="470"/>
      <c r="B379" s="470"/>
      <c r="C379" s="510">
        <v>2220204</v>
      </c>
      <c r="D379" s="464" t="s">
        <v>1094</v>
      </c>
      <c r="E379" s="476">
        <v>300000</v>
      </c>
      <c r="F379" s="616">
        <v>300000</v>
      </c>
    </row>
    <row r="380" spans="1:5" ht="15" customHeight="1">
      <c r="A380" s="470"/>
      <c r="B380" s="470"/>
      <c r="C380" s="510">
        <v>2220299</v>
      </c>
      <c r="D380" s="464" t="s">
        <v>1088</v>
      </c>
      <c r="E380" s="476"/>
    </row>
    <row r="381" spans="1:5" ht="15" customHeight="1">
      <c r="A381" s="470"/>
      <c r="B381" s="470"/>
      <c r="C381" s="510">
        <v>2220206</v>
      </c>
      <c r="D381" s="464" t="s">
        <v>1091</v>
      </c>
      <c r="E381" s="476"/>
    </row>
    <row r="382" spans="1:5" ht="15" customHeight="1">
      <c r="A382" s="470"/>
      <c r="B382" s="470"/>
      <c r="C382" s="509">
        <v>2620100</v>
      </c>
      <c r="D382" s="468" t="s">
        <v>1095</v>
      </c>
      <c r="E382" s="471">
        <f>SUM(E383)</f>
        <v>0</v>
      </c>
    </row>
    <row r="383" spans="1:5" ht="15" customHeight="1">
      <c r="A383" s="470"/>
      <c r="B383" s="470"/>
      <c r="C383" s="510">
        <v>2620161</v>
      </c>
      <c r="D383" s="464" t="s">
        <v>1096</v>
      </c>
      <c r="E383" s="476"/>
    </row>
    <row r="384" spans="1:5" ht="15" customHeight="1">
      <c r="A384" s="470"/>
      <c r="B384" s="470"/>
      <c r="C384" s="509">
        <v>2640100</v>
      </c>
      <c r="D384" s="468" t="s">
        <v>1097</v>
      </c>
      <c r="E384" s="471">
        <f>SUM(E385:E386)</f>
        <v>0</v>
      </c>
    </row>
    <row r="385" spans="1:5" ht="15" customHeight="1">
      <c r="A385" s="470"/>
      <c r="B385" s="470"/>
      <c r="C385" s="510">
        <v>2640105</v>
      </c>
      <c r="D385" s="464" t="s">
        <v>1098</v>
      </c>
      <c r="E385" s="476"/>
    </row>
    <row r="386" spans="1:5" ht="15" customHeight="1">
      <c r="A386" s="470"/>
      <c r="B386" s="470"/>
      <c r="C386" s="510">
        <v>2649999</v>
      </c>
      <c r="D386" s="464" t="s">
        <v>1097</v>
      </c>
      <c r="E386" s="476">
        <v>0</v>
      </c>
    </row>
    <row r="387" spans="1:5" ht="15" customHeight="1">
      <c r="A387" s="470"/>
      <c r="B387" s="470"/>
      <c r="C387" s="509">
        <v>2640200</v>
      </c>
      <c r="D387" s="468" t="s">
        <v>2014</v>
      </c>
      <c r="E387" s="471">
        <f>SUM(E388)</f>
        <v>0</v>
      </c>
    </row>
    <row r="388" spans="1:6" ht="15" customHeight="1">
      <c r="A388" s="470"/>
      <c r="B388" s="470"/>
      <c r="C388" s="510">
        <v>2640299</v>
      </c>
      <c r="D388" s="464" t="s">
        <v>2014</v>
      </c>
      <c r="E388" s="476">
        <v>0</v>
      </c>
      <c r="F388" s="616">
        <v>200000000</v>
      </c>
    </row>
    <row r="389" spans="1:5" ht="15" customHeight="1">
      <c r="A389" s="470"/>
      <c r="B389" s="470"/>
      <c r="C389" s="509">
        <v>2810200</v>
      </c>
      <c r="D389" s="468" t="s">
        <v>1101</v>
      </c>
      <c r="E389" s="471">
        <f>SUM(E390)</f>
        <v>100000000</v>
      </c>
    </row>
    <row r="390" spans="1:6" ht="15" customHeight="1">
      <c r="A390" s="470"/>
      <c r="B390" s="470"/>
      <c r="C390" s="510">
        <v>2810205</v>
      </c>
      <c r="D390" s="464" t="s">
        <v>1102</v>
      </c>
      <c r="E390" s="476">
        <v>100000000</v>
      </c>
      <c r="F390" s="616">
        <v>50000000</v>
      </c>
    </row>
    <row r="391" spans="1:5" ht="15" customHeight="1">
      <c r="A391" s="470"/>
      <c r="B391" s="470"/>
      <c r="C391" s="509">
        <v>3110300</v>
      </c>
      <c r="D391" s="468" t="s">
        <v>1103</v>
      </c>
      <c r="E391" s="471">
        <f>SUM(E392:E393)</f>
        <v>0</v>
      </c>
    </row>
    <row r="392" spans="1:5" ht="15" customHeight="1">
      <c r="A392" s="470"/>
      <c r="B392" s="470"/>
      <c r="C392" s="510">
        <v>3110301</v>
      </c>
      <c r="D392" s="464" t="s">
        <v>1104</v>
      </c>
      <c r="E392" s="476"/>
    </row>
    <row r="393" spans="1:5" ht="15" customHeight="1">
      <c r="A393" s="470"/>
      <c r="B393" s="470"/>
      <c r="C393" s="510">
        <v>3110302</v>
      </c>
      <c r="D393" s="464" t="s">
        <v>1105</v>
      </c>
      <c r="E393" s="476"/>
    </row>
    <row r="394" spans="1:5" ht="15" customHeight="1">
      <c r="A394" s="470"/>
      <c r="B394" s="470"/>
      <c r="C394" s="509">
        <v>2710100</v>
      </c>
      <c r="D394" s="468" t="s">
        <v>1106</v>
      </c>
      <c r="E394" s="471">
        <f>E395</f>
        <v>1631216.28</v>
      </c>
    </row>
    <row r="395" spans="1:6" ht="15" customHeight="1">
      <c r="A395" s="470"/>
      <c r="B395" s="470"/>
      <c r="C395" s="509">
        <v>2710102</v>
      </c>
      <c r="D395" s="464" t="s">
        <v>1140</v>
      </c>
      <c r="E395" s="476">
        <f>'[1]Finance'!$H$87</f>
        <v>1631216.28</v>
      </c>
      <c r="F395" s="616">
        <v>1631216</v>
      </c>
    </row>
    <row r="396" spans="1:5" ht="15" customHeight="1">
      <c r="A396" s="470"/>
      <c r="B396" s="470"/>
      <c r="C396" s="509">
        <v>3110700</v>
      </c>
      <c r="D396" s="468" t="s">
        <v>1108</v>
      </c>
      <c r="E396" s="471">
        <f>SUM(E397)</f>
        <v>0</v>
      </c>
    </row>
    <row r="397" spans="1:5" ht="15" customHeight="1">
      <c r="A397" s="470"/>
      <c r="B397" s="470"/>
      <c r="C397" s="510">
        <v>3110701</v>
      </c>
      <c r="D397" s="464" t="s">
        <v>1109</v>
      </c>
      <c r="E397" s="476"/>
    </row>
    <row r="398" spans="1:5" ht="15" customHeight="1">
      <c r="A398" s="470"/>
      <c r="B398" s="470"/>
      <c r="C398" s="509">
        <v>3111000</v>
      </c>
      <c r="D398" s="468" t="s">
        <v>1110</v>
      </c>
      <c r="E398" s="471">
        <f>SUM(E399:E400)</f>
        <v>5000000</v>
      </c>
    </row>
    <row r="399" spans="1:5" ht="15" customHeight="1">
      <c r="A399" s="470"/>
      <c r="B399" s="470"/>
      <c r="C399" s="510">
        <v>3111001</v>
      </c>
      <c r="D399" s="464" t="s">
        <v>1111</v>
      </c>
      <c r="E399" s="476">
        <v>2500000</v>
      </c>
    </row>
    <row r="400" spans="1:5" ht="15" customHeight="1">
      <c r="A400" s="470"/>
      <c r="B400" s="470"/>
      <c r="C400" s="510">
        <v>3111002</v>
      </c>
      <c r="D400" s="464" t="s">
        <v>1112</v>
      </c>
      <c r="E400" s="476">
        <v>2500000</v>
      </c>
    </row>
    <row r="401" spans="1:5" ht="15" customHeight="1">
      <c r="A401" s="470"/>
      <c r="B401" s="470"/>
      <c r="C401" s="509">
        <v>3111300</v>
      </c>
      <c r="D401" s="468" t="s">
        <v>1142</v>
      </c>
      <c r="E401" s="471">
        <f>SUM(E402:E404)</f>
        <v>0</v>
      </c>
    </row>
    <row r="402" spans="1:5" ht="15" customHeight="1">
      <c r="A402" s="470"/>
      <c r="B402" s="470"/>
      <c r="C402" s="510">
        <v>3111301</v>
      </c>
      <c r="D402" s="464" t="s">
        <v>971</v>
      </c>
      <c r="E402" s="476"/>
    </row>
    <row r="403" spans="1:5" ht="15" customHeight="1">
      <c r="A403" s="470"/>
      <c r="B403" s="470"/>
      <c r="C403" s="510">
        <v>3111302</v>
      </c>
      <c r="D403" s="464" t="s">
        <v>1113</v>
      </c>
      <c r="E403" s="476"/>
    </row>
    <row r="404" spans="1:5" ht="15" customHeight="1">
      <c r="A404" s="470"/>
      <c r="B404" s="470"/>
      <c r="C404" s="510">
        <v>3111305</v>
      </c>
      <c r="D404" s="464" t="s">
        <v>1114</v>
      </c>
      <c r="E404" s="476"/>
    </row>
    <row r="405" spans="1:5" ht="15" customHeight="1">
      <c r="A405" s="470"/>
      <c r="B405" s="470"/>
      <c r="C405" s="509">
        <v>3111400</v>
      </c>
      <c r="D405" s="468" t="s">
        <v>1119</v>
      </c>
      <c r="E405" s="471">
        <f>SUM(E406:E408)</f>
        <v>1500000</v>
      </c>
    </row>
    <row r="406" spans="1:9" ht="15" customHeight="1">
      <c r="A406" s="470"/>
      <c r="B406" s="470"/>
      <c r="C406" s="510">
        <v>3111401</v>
      </c>
      <c r="D406" s="464" t="s">
        <v>1115</v>
      </c>
      <c r="E406" s="476">
        <v>1500000</v>
      </c>
      <c r="I406" s="616">
        <v>1500000</v>
      </c>
    </row>
    <row r="407" spans="1:5" ht="15" customHeight="1">
      <c r="A407" s="470"/>
      <c r="B407" s="470"/>
      <c r="C407" s="510">
        <v>3111403</v>
      </c>
      <c r="D407" s="464" t="s">
        <v>1116</v>
      </c>
      <c r="E407" s="476">
        <v>0</v>
      </c>
    </row>
    <row r="408" spans="1:5" ht="15" customHeight="1">
      <c r="A408" s="470"/>
      <c r="B408" s="470"/>
      <c r="C408" s="510">
        <v>3111499</v>
      </c>
      <c r="D408" s="464" t="s">
        <v>1117</v>
      </c>
      <c r="E408" s="476"/>
    </row>
    <row r="409" spans="1:5" ht="15" customHeight="1">
      <c r="A409" s="470"/>
      <c r="B409" s="470"/>
      <c r="C409" s="459">
        <v>4110403</v>
      </c>
      <c r="D409" s="464" t="s">
        <v>1923</v>
      </c>
      <c r="E409" s="476">
        <f>50000000+50000000</f>
        <v>100000000</v>
      </c>
    </row>
    <row r="410" spans="1:5" ht="15" customHeight="1">
      <c r="A410" s="470"/>
      <c r="B410" s="470"/>
      <c r="C410" s="509">
        <v>4130200</v>
      </c>
      <c r="D410" s="468" t="s">
        <v>2044</v>
      </c>
      <c r="E410" s="471">
        <f>SUM(E411)</f>
        <v>0</v>
      </c>
    </row>
    <row r="411" spans="1:13" s="965" customFormat="1" ht="15" customHeight="1">
      <c r="A411" s="961"/>
      <c r="B411" s="961"/>
      <c r="C411" s="962">
        <v>4130201</v>
      </c>
      <c r="D411" s="963" t="s">
        <v>2043</v>
      </c>
      <c r="E411" s="960">
        <v>0</v>
      </c>
      <c r="F411" s="964"/>
      <c r="G411" s="964"/>
      <c r="H411" s="964"/>
      <c r="I411" s="964"/>
      <c r="J411" s="964"/>
      <c r="K411" s="964"/>
      <c r="L411" s="964"/>
      <c r="M411" s="964"/>
    </row>
    <row r="412" spans="1:5" ht="15" customHeight="1">
      <c r="A412" s="470"/>
      <c r="B412" s="470"/>
      <c r="C412" s="509"/>
      <c r="D412" s="464" t="s">
        <v>2046</v>
      </c>
      <c r="E412" s="472">
        <v>45748545</v>
      </c>
    </row>
    <row r="413" spans="1:12" ht="15" customHeight="1">
      <c r="A413" s="470"/>
      <c r="B413" s="1375" t="s">
        <v>1144</v>
      </c>
      <c r="C413" s="1376"/>
      <c r="D413" s="1377"/>
      <c r="E413" s="508">
        <f>SUM(E281,E283,E285,E295,E299,E303,E307,E311,E316,E322,E326,E336,E339,E344,E354,E358,E361,E371,E373,E382,E384,E387,E389,E391,E394,E396,E398,E401,E405,E409+E410+E412)</f>
        <v>492944469.23999995</v>
      </c>
      <c r="F413" s="616">
        <f>SUM(F281:F412)</f>
        <v>374785682</v>
      </c>
      <c r="G413" s="616">
        <f aca="true" t="shared" si="0" ref="G413:L413">SUM(G281:G412)</f>
        <v>500000</v>
      </c>
      <c r="H413" s="616">
        <f t="shared" si="0"/>
        <v>4750000</v>
      </c>
      <c r="I413" s="616">
        <f t="shared" si="0"/>
        <v>17150000</v>
      </c>
      <c r="J413" s="616">
        <f t="shared" si="0"/>
        <v>0</v>
      </c>
      <c r="K413" s="616">
        <f t="shared" si="0"/>
        <v>13900000</v>
      </c>
      <c r="L413" s="616">
        <f t="shared" si="0"/>
        <v>100000</v>
      </c>
    </row>
    <row r="414" spans="1:5" ht="15" customHeight="1">
      <c r="A414" s="1384"/>
      <c r="B414" s="1385"/>
      <c r="C414" s="1385"/>
      <c r="D414" s="1385"/>
      <c r="E414" s="1386"/>
    </row>
    <row r="415" spans="1:5" ht="15" customHeight="1">
      <c r="A415" s="1387"/>
      <c r="B415" s="1388"/>
      <c r="C415" s="1388"/>
      <c r="D415" s="1388"/>
      <c r="E415" s="1389"/>
    </row>
    <row r="416" spans="1:5" ht="15" customHeight="1">
      <c r="A416" s="1349" t="s">
        <v>1120</v>
      </c>
      <c r="B416" s="1350"/>
      <c r="C416" s="1350"/>
      <c r="D416" s="1350"/>
      <c r="E416" s="1351"/>
    </row>
    <row r="417" spans="1:5" ht="15" customHeight="1">
      <c r="A417" s="1353" t="s">
        <v>1431</v>
      </c>
      <c r="B417" s="1354"/>
      <c r="C417" s="1354"/>
      <c r="D417" s="1354"/>
      <c r="E417" s="1354"/>
    </row>
    <row r="418" spans="1:5" ht="15" customHeight="1">
      <c r="A418" s="1352" t="s">
        <v>1252</v>
      </c>
      <c r="B418" s="1352"/>
      <c r="C418" s="1352"/>
      <c r="D418" s="1352"/>
      <c r="E418" s="1352"/>
    </row>
    <row r="419" spans="1:5" ht="31.5">
      <c r="A419" s="1347" t="s">
        <v>1122</v>
      </c>
      <c r="B419" s="1345"/>
      <c r="C419" s="478" t="s">
        <v>998</v>
      </c>
      <c r="D419" s="486" t="s">
        <v>997</v>
      </c>
      <c r="E419" s="515" t="s">
        <v>1432</v>
      </c>
    </row>
    <row r="420" spans="1:5" ht="15" customHeight="1">
      <c r="A420" s="1347"/>
      <c r="B420" s="1345"/>
      <c r="C420" s="478">
        <v>2110100</v>
      </c>
      <c r="D420" s="479" t="s">
        <v>999</v>
      </c>
      <c r="E420" s="480">
        <f>SUM(E421)</f>
        <v>80673735.16</v>
      </c>
    </row>
    <row r="421" spans="1:5" ht="15" customHeight="1">
      <c r="A421" s="467"/>
      <c r="B421" s="467" t="s">
        <v>1123</v>
      </c>
      <c r="C421" s="510">
        <v>2110101</v>
      </c>
      <c r="D421" s="465" t="s">
        <v>1145</v>
      </c>
      <c r="E421" s="466">
        <f>61941036*1.06+15016237</f>
        <v>80673735.16</v>
      </c>
    </row>
    <row r="422" spans="1:5" ht="15" customHeight="1">
      <c r="A422" s="465"/>
      <c r="B422" s="465"/>
      <c r="C422" s="478">
        <v>2110300</v>
      </c>
      <c r="D422" s="479" t="s">
        <v>1003</v>
      </c>
      <c r="E422" s="480">
        <f>E423+E424+E425+E426+E427+E428</f>
        <v>33441701.500000004</v>
      </c>
    </row>
    <row r="423" spans="1:5" ht="15" customHeight="1">
      <c r="A423" s="465"/>
      <c r="B423" s="465"/>
      <c r="C423" s="477">
        <v>2110301</v>
      </c>
      <c r="D423" s="465" t="s">
        <v>1004</v>
      </c>
      <c r="E423" s="466">
        <f>11039844*1.06</f>
        <v>11702234.64</v>
      </c>
    </row>
    <row r="424" spans="1:5" ht="15" customHeight="1">
      <c r="A424" s="465"/>
      <c r="B424" s="465"/>
      <c r="C424" s="477">
        <v>2110301</v>
      </c>
      <c r="D424" s="465" t="s">
        <v>1146</v>
      </c>
      <c r="E424" s="466">
        <f>1564800*1.06</f>
        <v>1658688</v>
      </c>
    </row>
    <row r="425" spans="1:5" ht="15" customHeight="1">
      <c r="A425" s="465"/>
      <c r="B425" s="465"/>
      <c r="C425" s="477">
        <v>2110307</v>
      </c>
      <c r="D425" s="465" t="s">
        <v>1124</v>
      </c>
      <c r="E425" s="466">
        <f>11530176*1.06</f>
        <v>12221986.56</v>
      </c>
    </row>
    <row r="426" spans="1:5" ht="15" customHeight="1">
      <c r="A426" s="465"/>
      <c r="B426" s="465"/>
      <c r="C426" s="477">
        <v>2110322</v>
      </c>
      <c r="D426" s="465" t="s">
        <v>1147</v>
      </c>
      <c r="E426" s="466">
        <f>1939800*1.06</f>
        <v>2056188</v>
      </c>
    </row>
    <row r="427" spans="1:5" ht="15" customHeight="1">
      <c r="A427" s="465"/>
      <c r="B427" s="465"/>
      <c r="C427" s="477">
        <v>2110320</v>
      </c>
      <c r="D427" s="465" t="s">
        <v>1148</v>
      </c>
      <c r="E427" s="466">
        <f>810155*1.06</f>
        <v>858764.3</v>
      </c>
    </row>
    <row r="428" spans="1:5" ht="15" customHeight="1">
      <c r="A428" s="465"/>
      <c r="B428" s="465"/>
      <c r="C428" s="477">
        <v>2110314</v>
      </c>
      <c r="D428" s="465" t="s">
        <v>1149</v>
      </c>
      <c r="E428" s="466">
        <f>(8664000-4000000)*1.06</f>
        <v>4943840</v>
      </c>
    </row>
    <row r="429" spans="1:5" ht="15" customHeight="1">
      <c r="A429" s="465"/>
      <c r="B429" s="465"/>
      <c r="C429" s="478">
        <v>2120100</v>
      </c>
      <c r="D429" s="479" t="s">
        <v>1012</v>
      </c>
      <c r="E429" s="480">
        <f>E430</f>
        <v>9448626.940000001</v>
      </c>
    </row>
    <row r="430" spans="1:5" ht="15" customHeight="1">
      <c r="A430" s="465"/>
      <c r="B430" s="465"/>
      <c r="C430" s="477">
        <v>2120101</v>
      </c>
      <c r="D430" s="465" t="s">
        <v>1013</v>
      </c>
      <c r="E430" s="466">
        <f>(10913799-2000000)*1.06</f>
        <v>9448626.940000001</v>
      </c>
    </row>
    <row r="431" spans="1:5" ht="15" customHeight="1">
      <c r="A431" s="465"/>
      <c r="B431" s="465"/>
      <c r="C431" s="477">
        <v>2120102</v>
      </c>
      <c r="D431" s="465" t="s">
        <v>1125</v>
      </c>
      <c r="E431" s="466">
        <v>0</v>
      </c>
    </row>
    <row r="432" spans="1:5" ht="15" customHeight="1">
      <c r="A432" s="465"/>
      <c r="B432" s="465"/>
      <c r="C432" s="477">
        <v>2120103</v>
      </c>
      <c r="D432" s="465" t="s">
        <v>1126</v>
      </c>
      <c r="E432" s="466">
        <v>0</v>
      </c>
    </row>
    <row r="433" spans="1:5" ht="15" customHeight="1">
      <c r="A433" s="465"/>
      <c r="B433" s="465"/>
      <c r="C433" s="460">
        <v>2110200</v>
      </c>
      <c r="D433" s="486" t="s">
        <v>1001</v>
      </c>
      <c r="E433" s="480">
        <f>E434</f>
        <v>3630000.0000000005</v>
      </c>
    </row>
    <row r="434" spans="1:5" ht="15" customHeight="1">
      <c r="A434" s="465"/>
      <c r="B434" s="465"/>
      <c r="C434" s="459">
        <v>2110202</v>
      </c>
      <c r="D434" s="487" t="s">
        <v>1150</v>
      </c>
      <c r="E434" s="466">
        <f>3300000*1.1</f>
        <v>3630000.0000000005</v>
      </c>
    </row>
    <row r="435" spans="1:5" ht="15" customHeight="1">
      <c r="A435" s="465"/>
      <c r="B435" s="465"/>
      <c r="C435" s="460">
        <v>2210100</v>
      </c>
      <c r="D435" s="486" t="s">
        <v>1015</v>
      </c>
      <c r="E435" s="480">
        <f>E437+E436</f>
        <v>1140000</v>
      </c>
    </row>
    <row r="436" spans="1:5" ht="15" customHeight="1">
      <c r="A436" s="465"/>
      <c r="B436" s="465"/>
      <c r="C436" s="459">
        <v>2210101</v>
      </c>
      <c r="D436" s="487" t="s">
        <v>1016</v>
      </c>
      <c r="E436" s="466">
        <v>640000</v>
      </c>
    </row>
    <row r="437" spans="1:5" ht="15" customHeight="1">
      <c r="A437" s="465"/>
      <c r="B437" s="465"/>
      <c r="C437" s="459">
        <v>2210102</v>
      </c>
      <c r="D437" s="487" t="s">
        <v>1017</v>
      </c>
      <c r="E437" s="466">
        <v>500000</v>
      </c>
    </row>
    <row r="438" spans="1:5" ht="15" customHeight="1">
      <c r="A438" s="465"/>
      <c r="B438" s="465"/>
      <c r="C438" s="460">
        <v>2210200</v>
      </c>
      <c r="D438" s="486" t="s">
        <v>1019</v>
      </c>
      <c r="E438" s="480">
        <f>E439+E440</f>
        <v>1200000</v>
      </c>
    </row>
    <row r="439" spans="1:5" ht="15" customHeight="1">
      <c r="A439" s="465"/>
      <c r="B439" s="465"/>
      <c r="C439" s="459">
        <v>2210201</v>
      </c>
      <c r="D439" s="487" t="s">
        <v>1020</v>
      </c>
      <c r="E439" s="466">
        <v>1000000</v>
      </c>
    </row>
    <row r="440" spans="1:5" ht="15" customHeight="1">
      <c r="A440" s="465"/>
      <c r="B440" s="465"/>
      <c r="C440" s="459">
        <v>2210202</v>
      </c>
      <c r="D440" s="487" t="s">
        <v>1021</v>
      </c>
      <c r="E440" s="466">
        <v>200000</v>
      </c>
    </row>
    <row r="441" spans="1:5" ht="15" customHeight="1">
      <c r="A441" s="465"/>
      <c r="B441" s="465"/>
      <c r="C441" s="459">
        <v>2210203</v>
      </c>
      <c r="D441" s="487" t="s">
        <v>1151</v>
      </c>
      <c r="E441" s="466">
        <v>0</v>
      </c>
    </row>
    <row r="442" spans="1:5" ht="15" customHeight="1">
      <c r="A442" s="465"/>
      <c r="B442" s="465"/>
      <c r="C442" s="460">
        <v>2210300</v>
      </c>
      <c r="D442" s="486" t="s">
        <v>1023</v>
      </c>
      <c r="E442" s="480">
        <f>E446+E445+E444+E443</f>
        <v>5930400</v>
      </c>
    </row>
    <row r="443" spans="1:5" ht="15" customHeight="1">
      <c r="A443" s="465"/>
      <c r="B443" s="465"/>
      <c r="C443" s="459">
        <v>2210301</v>
      </c>
      <c r="D443" s="487" t="s">
        <v>1024</v>
      </c>
      <c r="E443" s="466">
        <v>1000000</v>
      </c>
    </row>
    <row r="444" spans="1:5" ht="15" customHeight="1">
      <c r="A444" s="465"/>
      <c r="B444" s="465"/>
      <c r="C444" s="459">
        <v>2210302</v>
      </c>
      <c r="D444" s="487" t="s">
        <v>1128</v>
      </c>
      <c r="E444" s="466">
        <v>1400000</v>
      </c>
    </row>
    <row r="445" spans="1:5" ht="15" customHeight="1">
      <c r="A445" s="465"/>
      <c r="B445" s="465"/>
      <c r="C445" s="459">
        <v>2210303</v>
      </c>
      <c r="D445" s="487" t="s">
        <v>1129</v>
      </c>
      <c r="E445" s="466">
        <v>2530400</v>
      </c>
    </row>
    <row r="446" spans="1:5" ht="15" customHeight="1">
      <c r="A446" s="465"/>
      <c r="B446" s="465"/>
      <c r="C446" s="459">
        <v>2210304</v>
      </c>
      <c r="D446" s="487" t="s">
        <v>1152</v>
      </c>
      <c r="E446" s="466">
        <v>1000000</v>
      </c>
    </row>
    <row r="447" spans="1:5" ht="15" customHeight="1">
      <c r="A447" s="465"/>
      <c r="B447" s="465"/>
      <c r="C447" s="460">
        <v>2210400</v>
      </c>
      <c r="D447" s="489" t="s">
        <v>1127</v>
      </c>
      <c r="E447" s="480">
        <f>E451+E450+E449+E448</f>
        <v>1670000</v>
      </c>
    </row>
    <row r="448" spans="1:5" ht="15" customHeight="1">
      <c r="A448" s="465"/>
      <c r="B448" s="465"/>
      <c r="C448" s="459">
        <v>2210401</v>
      </c>
      <c r="D448" s="487" t="s">
        <v>1024</v>
      </c>
      <c r="E448" s="466">
        <v>600000</v>
      </c>
    </row>
    <row r="449" spans="1:5" ht="15" customHeight="1">
      <c r="A449" s="465"/>
      <c r="B449" s="465"/>
      <c r="C449" s="459">
        <v>2210402</v>
      </c>
      <c r="D449" s="487" t="s">
        <v>1128</v>
      </c>
      <c r="E449" s="466">
        <v>500000</v>
      </c>
    </row>
    <row r="450" spans="1:5" ht="15" customHeight="1">
      <c r="A450" s="465"/>
      <c r="B450" s="465"/>
      <c r="C450" s="459">
        <v>2210403</v>
      </c>
      <c r="D450" s="487" t="s">
        <v>1129</v>
      </c>
      <c r="E450" s="466">
        <v>500000</v>
      </c>
    </row>
    <row r="451" spans="1:5" ht="15" customHeight="1">
      <c r="A451" s="465"/>
      <c r="B451" s="465"/>
      <c r="C451" s="459">
        <v>2210404</v>
      </c>
      <c r="D451" s="487" t="s">
        <v>1130</v>
      </c>
      <c r="E451" s="466">
        <v>70000</v>
      </c>
    </row>
    <row r="452" spans="1:5" ht="15" customHeight="1">
      <c r="A452" s="465"/>
      <c r="B452" s="465"/>
      <c r="C452" s="460">
        <v>2210500</v>
      </c>
      <c r="D452" s="486" t="s">
        <v>1029</v>
      </c>
      <c r="E452" s="480">
        <f>E453+E454+E455+E456</f>
        <v>2897760</v>
      </c>
    </row>
    <row r="453" spans="1:5" ht="15" customHeight="1">
      <c r="A453" s="465"/>
      <c r="B453" s="465"/>
      <c r="C453" s="459">
        <v>2210502</v>
      </c>
      <c r="D453" s="487" t="s">
        <v>1030</v>
      </c>
      <c r="E453" s="466">
        <v>1200000</v>
      </c>
    </row>
    <row r="454" spans="1:5" ht="15" customHeight="1">
      <c r="A454" s="465"/>
      <c r="B454" s="465"/>
      <c r="C454" s="459">
        <v>2210503</v>
      </c>
      <c r="D454" s="487" t="s">
        <v>1031</v>
      </c>
      <c r="E454" s="466">
        <v>397760</v>
      </c>
    </row>
    <row r="455" spans="1:5" ht="15" customHeight="1">
      <c r="A455" s="465"/>
      <c r="B455" s="465"/>
      <c r="C455" s="459">
        <v>2210504</v>
      </c>
      <c r="D455" s="487" t="s">
        <v>1032</v>
      </c>
      <c r="E455" s="466">
        <v>800000</v>
      </c>
    </row>
    <row r="456" spans="1:5" ht="15" customHeight="1">
      <c r="A456" s="465"/>
      <c r="B456" s="465"/>
      <c r="C456" s="459">
        <v>2210505</v>
      </c>
      <c r="D456" s="487" t="s">
        <v>1033</v>
      </c>
      <c r="E456" s="466">
        <v>500000</v>
      </c>
    </row>
    <row r="457" spans="1:5" ht="15" customHeight="1">
      <c r="A457" s="465"/>
      <c r="B457" s="465"/>
      <c r="C457" s="460">
        <v>2210600</v>
      </c>
      <c r="D457" s="486" t="s">
        <v>1153</v>
      </c>
      <c r="E457" s="480">
        <f>E458</f>
        <v>300000</v>
      </c>
    </row>
    <row r="458" spans="1:5" ht="15" customHeight="1">
      <c r="A458" s="465"/>
      <c r="B458" s="465"/>
      <c r="C458" s="459">
        <v>2210604</v>
      </c>
      <c r="D458" s="487" t="s">
        <v>1038</v>
      </c>
      <c r="E458" s="466">
        <v>300000</v>
      </c>
    </row>
    <row r="459" spans="1:5" ht="15" customHeight="1">
      <c r="A459" s="465"/>
      <c r="B459" s="465"/>
      <c r="C459" s="460">
        <v>2210700</v>
      </c>
      <c r="D459" s="486" t="s">
        <v>1154</v>
      </c>
      <c r="E459" s="480">
        <f>E460+E461+E462+E463+E464+E465</f>
        <v>4500000</v>
      </c>
    </row>
    <row r="460" spans="1:5" ht="15" customHeight="1">
      <c r="A460" s="465"/>
      <c r="B460" s="465"/>
      <c r="C460" s="460">
        <v>2210701</v>
      </c>
      <c r="D460" s="487" t="s">
        <v>1155</v>
      </c>
      <c r="E460" s="466">
        <v>800000</v>
      </c>
    </row>
    <row r="461" spans="1:5" ht="15" customHeight="1">
      <c r="A461" s="465"/>
      <c r="B461" s="465"/>
      <c r="C461" s="459">
        <v>2210702</v>
      </c>
      <c r="D461" s="487" t="s">
        <v>1041</v>
      </c>
      <c r="E461" s="466">
        <v>400000</v>
      </c>
    </row>
    <row r="462" spans="1:5" ht="15" customHeight="1">
      <c r="A462" s="465"/>
      <c r="B462" s="465"/>
      <c r="C462" s="459">
        <v>2210703</v>
      </c>
      <c r="D462" s="487" t="s">
        <v>1042</v>
      </c>
      <c r="E462" s="466">
        <f>555800-250000</f>
        <v>305800</v>
      </c>
    </row>
    <row r="463" spans="1:5" ht="15" customHeight="1">
      <c r="A463" s="465"/>
      <c r="B463" s="465"/>
      <c r="C463" s="459">
        <v>2210704</v>
      </c>
      <c r="D463" s="487" t="s">
        <v>1043</v>
      </c>
      <c r="E463" s="466">
        <v>593800</v>
      </c>
    </row>
    <row r="464" spans="1:5" ht="15" customHeight="1">
      <c r="A464" s="465"/>
      <c r="B464" s="465"/>
      <c r="C464" s="459">
        <v>2210710</v>
      </c>
      <c r="D464" s="487" t="s">
        <v>1156</v>
      </c>
      <c r="E464" s="466">
        <f>1300000-779700</f>
        <v>520300</v>
      </c>
    </row>
    <row r="465" spans="1:5" ht="15" customHeight="1">
      <c r="A465" s="465"/>
      <c r="B465" s="465"/>
      <c r="C465" s="459">
        <v>2210799</v>
      </c>
      <c r="D465" s="487" t="s">
        <v>1157</v>
      </c>
      <c r="E465" s="466">
        <f>4380100-2500000</f>
        <v>1880100</v>
      </c>
    </row>
    <row r="466" spans="1:5" ht="15" customHeight="1">
      <c r="A466" s="465"/>
      <c r="B466" s="465"/>
      <c r="C466" s="460">
        <v>2210800</v>
      </c>
      <c r="D466" s="486" t="s">
        <v>1049</v>
      </c>
      <c r="E466" s="480">
        <f>E468+E467</f>
        <v>2600000</v>
      </c>
    </row>
    <row r="467" spans="1:5" ht="15" customHeight="1">
      <c r="A467" s="465"/>
      <c r="B467" s="465"/>
      <c r="C467" s="459">
        <v>2210801</v>
      </c>
      <c r="D467" s="487" t="s">
        <v>1158</v>
      </c>
      <c r="E467" s="466">
        <v>1500000</v>
      </c>
    </row>
    <row r="468" spans="1:5" ht="15" customHeight="1">
      <c r="A468" s="465"/>
      <c r="B468" s="465"/>
      <c r="C468" s="459">
        <v>2210802</v>
      </c>
      <c r="D468" s="487" t="s">
        <v>1131</v>
      </c>
      <c r="E468" s="466">
        <v>1100000</v>
      </c>
    </row>
    <row r="469" spans="1:5" ht="15" customHeight="1">
      <c r="A469" s="465"/>
      <c r="B469" s="465"/>
      <c r="C469" s="460">
        <v>2210900</v>
      </c>
      <c r="D469" s="486" t="s">
        <v>1159</v>
      </c>
      <c r="E469" s="466"/>
    </row>
    <row r="470" spans="1:5" ht="15" customHeight="1">
      <c r="A470" s="465"/>
      <c r="B470" s="465"/>
      <c r="C470" s="460">
        <v>2211000</v>
      </c>
      <c r="D470" s="486" t="s">
        <v>1160</v>
      </c>
      <c r="E470" s="480">
        <f>SUM(E471:E475)</f>
        <v>6750000</v>
      </c>
    </row>
    <row r="471" spans="1:5" ht="15" customHeight="1">
      <c r="A471" s="465"/>
      <c r="B471" s="465"/>
      <c r="C471" s="459">
        <v>2211003</v>
      </c>
      <c r="D471" s="487" t="s">
        <v>1132</v>
      </c>
      <c r="E471" s="466">
        <v>2000000</v>
      </c>
    </row>
    <row r="472" spans="1:5" ht="15" customHeight="1">
      <c r="A472" s="465"/>
      <c r="B472" s="465"/>
      <c r="C472" s="459">
        <v>2211004</v>
      </c>
      <c r="D472" s="487" t="s">
        <v>1161</v>
      </c>
      <c r="E472" s="466">
        <v>2000000</v>
      </c>
    </row>
    <row r="473" spans="1:5" ht="15" customHeight="1">
      <c r="A473" s="465"/>
      <c r="B473" s="465"/>
      <c r="C473" s="459">
        <v>2211006</v>
      </c>
      <c r="D473" s="487" t="s">
        <v>1061</v>
      </c>
      <c r="E473" s="466">
        <v>1000000</v>
      </c>
    </row>
    <row r="474" spans="1:5" ht="15" customHeight="1">
      <c r="A474" s="465"/>
      <c r="B474" s="465"/>
      <c r="C474" s="459">
        <v>2211007</v>
      </c>
      <c r="D474" s="487" t="s">
        <v>1133</v>
      </c>
      <c r="E474" s="466">
        <v>1000000</v>
      </c>
    </row>
    <row r="475" spans="1:5" ht="15" customHeight="1">
      <c r="A475" s="465"/>
      <c r="B475" s="465"/>
      <c r="C475" s="459">
        <v>2211016</v>
      </c>
      <c r="D475" s="487" t="s">
        <v>1064</v>
      </c>
      <c r="E475" s="466">
        <v>750000</v>
      </c>
    </row>
    <row r="476" spans="1:5" ht="15" customHeight="1">
      <c r="A476" s="465"/>
      <c r="B476" s="465"/>
      <c r="C476" s="460">
        <v>2211100</v>
      </c>
      <c r="D476" s="486" t="s">
        <v>1067</v>
      </c>
      <c r="E476" s="480">
        <f>E479+E478+E477</f>
        <v>2500000</v>
      </c>
    </row>
    <row r="477" spans="1:5" ht="15" customHeight="1">
      <c r="A477" s="465"/>
      <c r="B477" s="465"/>
      <c r="C477" s="459">
        <v>2211101</v>
      </c>
      <c r="D477" s="487" t="s">
        <v>1135</v>
      </c>
      <c r="E477" s="466">
        <v>1500000</v>
      </c>
    </row>
    <row r="478" spans="1:5" ht="15" customHeight="1">
      <c r="A478" s="465"/>
      <c r="B478" s="465"/>
      <c r="C478" s="459">
        <v>2211102</v>
      </c>
      <c r="D478" s="487" t="s">
        <v>1069</v>
      </c>
      <c r="E478" s="466">
        <v>500000</v>
      </c>
    </row>
    <row r="479" spans="1:5" ht="15" customHeight="1">
      <c r="A479" s="465"/>
      <c r="B479" s="465"/>
      <c r="C479" s="459">
        <v>2211103</v>
      </c>
      <c r="D479" s="487" t="s">
        <v>1070</v>
      </c>
      <c r="E479" s="466">
        <v>500000</v>
      </c>
    </row>
    <row r="480" spans="1:5" ht="15" customHeight="1">
      <c r="A480" s="465"/>
      <c r="B480" s="465"/>
      <c r="C480" s="460">
        <v>2211200</v>
      </c>
      <c r="D480" s="486" t="s">
        <v>1071</v>
      </c>
      <c r="E480" s="480">
        <f>E482+E481</f>
        <v>7500000</v>
      </c>
    </row>
    <row r="481" spans="1:5" ht="15" customHeight="1">
      <c r="A481" s="465"/>
      <c r="B481" s="465"/>
      <c r="C481" s="459">
        <v>2211201</v>
      </c>
      <c r="D481" s="487" t="s">
        <v>1072</v>
      </c>
      <c r="E481" s="466">
        <v>5500000</v>
      </c>
    </row>
    <row r="482" spans="1:5" ht="15" customHeight="1">
      <c r="A482" s="465"/>
      <c r="B482" s="465"/>
      <c r="C482" s="459">
        <v>2211202</v>
      </c>
      <c r="D482" s="487" t="s">
        <v>1162</v>
      </c>
      <c r="E482" s="466">
        <v>2000000</v>
      </c>
    </row>
    <row r="483" spans="1:5" ht="15" customHeight="1">
      <c r="A483" s="465"/>
      <c r="B483" s="465"/>
      <c r="C483" s="460">
        <v>2211300</v>
      </c>
      <c r="D483" s="486" t="s">
        <v>1074</v>
      </c>
      <c r="E483" s="480">
        <f>E487+E486+E485+E484</f>
        <v>1300000</v>
      </c>
    </row>
    <row r="484" spans="1:5" ht="15" customHeight="1">
      <c r="A484" s="465"/>
      <c r="B484" s="465"/>
      <c r="C484" s="477">
        <v>2211301</v>
      </c>
      <c r="D484" s="487" t="s">
        <v>1075</v>
      </c>
      <c r="E484" s="466">
        <v>0</v>
      </c>
    </row>
    <row r="485" spans="1:5" ht="15" customHeight="1">
      <c r="A485" s="465"/>
      <c r="B485" s="465"/>
      <c r="C485" s="477">
        <v>2211310</v>
      </c>
      <c r="D485" s="487" t="s">
        <v>1137</v>
      </c>
      <c r="E485" s="466">
        <v>800000</v>
      </c>
    </row>
    <row r="486" spans="1:5" ht="15" customHeight="1">
      <c r="A486" s="465"/>
      <c r="B486" s="465"/>
      <c r="C486" s="477">
        <v>2211311</v>
      </c>
      <c r="D486" s="487" t="s">
        <v>1080</v>
      </c>
      <c r="E486" s="466">
        <v>500000</v>
      </c>
    </row>
    <row r="487" spans="1:5" ht="15" customHeight="1">
      <c r="A487" s="465"/>
      <c r="B487" s="465"/>
      <c r="C487" s="477">
        <v>2211399</v>
      </c>
      <c r="D487" s="487" t="s">
        <v>1074</v>
      </c>
      <c r="E487" s="466">
        <v>0</v>
      </c>
    </row>
    <row r="488" spans="1:5" ht="15" customHeight="1">
      <c r="A488" s="465"/>
      <c r="B488" s="465"/>
      <c r="C488" s="460">
        <v>2220100</v>
      </c>
      <c r="D488" s="486" t="s">
        <v>1163</v>
      </c>
      <c r="E488" s="480">
        <f>E489</f>
        <v>4000000</v>
      </c>
    </row>
    <row r="489" spans="1:5" ht="15" customHeight="1">
      <c r="A489" s="465"/>
      <c r="B489" s="465"/>
      <c r="C489" s="459">
        <v>2220101</v>
      </c>
      <c r="D489" s="487" t="s">
        <v>1138</v>
      </c>
      <c r="E489" s="466">
        <v>4000000</v>
      </c>
    </row>
    <row r="490" spans="1:5" ht="15" customHeight="1">
      <c r="A490" s="465"/>
      <c r="B490" s="465"/>
      <c r="C490" s="460">
        <v>2220200</v>
      </c>
      <c r="D490" s="486" t="s">
        <v>1088</v>
      </c>
      <c r="E490" s="480">
        <f>E494+E493+E492+E491</f>
        <v>3800000</v>
      </c>
    </row>
    <row r="491" spans="1:5" ht="15" customHeight="1">
      <c r="A491" s="465"/>
      <c r="B491" s="465"/>
      <c r="C491" s="459">
        <v>2220201</v>
      </c>
      <c r="D491" s="487" t="s">
        <v>1089</v>
      </c>
      <c r="E491" s="466">
        <v>2500000</v>
      </c>
    </row>
    <row r="492" spans="1:5" ht="15" customHeight="1">
      <c r="A492" s="465"/>
      <c r="B492" s="465"/>
      <c r="C492" s="459">
        <v>2220205</v>
      </c>
      <c r="D492" s="487" t="s">
        <v>1090</v>
      </c>
      <c r="E492" s="466">
        <v>1000000</v>
      </c>
    </row>
    <row r="493" spans="1:5" ht="15" customHeight="1">
      <c r="A493" s="465"/>
      <c r="B493" s="465"/>
      <c r="C493" s="459">
        <v>2220210</v>
      </c>
      <c r="D493" s="487" t="s">
        <v>1093</v>
      </c>
      <c r="E493" s="466">
        <v>100000</v>
      </c>
    </row>
    <row r="494" spans="1:5" ht="15" customHeight="1">
      <c r="A494" s="465"/>
      <c r="B494" s="465"/>
      <c r="C494" s="459">
        <v>2220204</v>
      </c>
      <c r="D494" s="487" t="s">
        <v>1094</v>
      </c>
      <c r="E494" s="466">
        <v>200000</v>
      </c>
    </row>
    <row r="495" spans="1:5" ht="15" customHeight="1">
      <c r="A495" s="465"/>
      <c r="B495" s="465"/>
      <c r="C495" s="460">
        <v>3111000</v>
      </c>
      <c r="D495" s="486" t="s">
        <v>1110</v>
      </c>
      <c r="E495" s="480">
        <f>E499+E498+E497+E496</f>
        <v>0</v>
      </c>
    </row>
    <row r="496" spans="1:5" ht="15" customHeight="1">
      <c r="A496" s="465"/>
      <c r="B496" s="465"/>
      <c r="C496" s="459">
        <v>3111001</v>
      </c>
      <c r="D496" s="487" t="s">
        <v>1111</v>
      </c>
      <c r="E496" s="466">
        <v>0</v>
      </c>
    </row>
    <row r="497" spans="1:5" ht="15" customHeight="1">
      <c r="A497" s="465"/>
      <c r="B497" s="465"/>
      <c r="C497" s="459">
        <v>3111002</v>
      </c>
      <c r="D497" s="487" t="s">
        <v>1164</v>
      </c>
      <c r="E497" s="466">
        <v>0</v>
      </c>
    </row>
    <row r="498" spans="1:5" ht="15" customHeight="1">
      <c r="A498" s="465"/>
      <c r="B498" s="465"/>
      <c r="C498" s="459">
        <v>3111106</v>
      </c>
      <c r="D498" s="487" t="s">
        <v>1141</v>
      </c>
      <c r="E498" s="466">
        <v>0</v>
      </c>
    </row>
    <row r="499" spans="1:5" ht="15" customHeight="1">
      <c r="A499" s="465"/>
      <c r="B499" s="465"/>
      <c r="C499" s="459">
        <v>3111109</v>
      </c>
      <c r="D499" s="487" t="s">
        <v>1165</v>
      </c>
      <c r="E499" s="466">
        <v>0</v>
      </c>
    </row>
    <row r="500" spans="1:5" ht="15" customHeight="1">
      <c r="A500" s="465"/>
      <c r="B500" s="465"/>
      <c r="C500" s="460">
        <v>3111300</v>
      </c>
      <c r="D500" s="486" t="s">
        <v>1166</v>
      </c>
      <c r="E500" s="480">
        <f>E502+E501</f>
        <v>0</v>
      </c>
    </row>
    <row r="501" spans="1:5" ht="15" customHeight="1">
      <c r="A501" s="465"/>
      <c r="B501" s="465"/>
      <c r="C501" s="459">
        <v>3111301</v>
      </c>
      <c r="D501" s="487" t="s">
        <v>971</v>
      </c>
      <c r="E501" s="466">
        <v>0</v>
      </c>
    </row>
    <row r="502" spans="1:5" ht="15" customHeight="1">
      <c r="A502" s="465"/>
      <c r="B502" s="465"/>
      <c r="C502" s="459">
        <v>3111302</v>
      </c>
      <c r="D502" s="487" t="s">
        <v>972</v>
      </c>
      <c r="E502" s="466">
        <v>0</v>
      </c>
    </row>
    <row r="503" spans="1:5" ht="15" customHeight="1">
      <c r="A503" s="465"/>
      <c r="B503" s="465"/>
      <c r="C503" s="460">
        <v>3111400</v>
      </c>
      <c r="D503" s="486" t="s">
        <v>1119</v>
      </c>
      <c r="E503" s="480">
        <f>E504</f>
        <v>0</v>
      </c>
    </row>
    <row r="504" spans="1:5" ht="15" customHeight="1">
      <c r="A504" s="465"/>
      <c r="B504" s="465"/>
      <c r="C504" s="459">
        <v>3111401</v>
      </c>
      <c r="D504" s="487" t="s">
        <v>1115</v>
      </c>
      <c r="E504" s="466">
        <v>0</v>
      </c>
    </row>
    <row r="505" spans="1:5" ht="15" customHeight="1">
      <c r="A505" s="465"/>
      <c r="B505" s="1375" t="s">
        <v>1144</v>
      </c>
      <c r="C505" s="1376"/>
      <c r="D505" s="1377"/>
      <c r="E505" s="519">
        <f>E503+E500+E495+E490+E488+E483+E480+E476+E470+E466+E459+E457+E452+E447+E442+E438+E435+E433+E429+E422+E420</f>
        <v>173282223.6</v>
      </c>
    </row>
    <row r="506" spans="1:5" ht="15" customHeight="1">
      <c r="A506" s="1378"/>
      <c r="B506" s="1379"/>
      <c r="C506" s="1379"/>
      <c r="D506" s="1379"/>
      <c r="E506" s="1380"/>
    </row>
    <row r="507" spans="1:5" ht="15" customHeight="1">
      <c r="A507" s="1390"/>
      <c r="B507" s="1391"/>
      <c r="C507" s="1391"/>
      <c r="D507" s="1391"/>
      <c r="E507" s="1392"/>
    </row>
    <row r="508" spans="1:5" ht="15" customHeight="1">
      <c r="A508" s="1356" t="s">
        <v>1120</v>
      </c>
      <c r="B508" s="1357"/>
      <c r="C508" s="1357"/>
      <c r="D508" s="1357"/>
      <c r="E508" s="1357"/>
    </row>
    <row r="509" spans="1:5" ht="15" customHeight="1">
      <c r="A509" s="1353" t="s">
        <v>2049</v>
      </c>
      <c r="B509" s="1354"/>
      <c r="C509" s="1354"/>
      <c r="D509" s="1354"/>
      <c r="E509" s="1354"/>
    </row>
    <row r="510" spans="1:5" ht="15" customHeight="1">
      <c r="A510" s="1358" t="s">
        <v>1167</v>
      </c>
      <c r="B510" s="1359"/>
      <c r="C510" s="1359"/>
      <c r="D510" s="1359"/>
      <c r="E510" s="1359"/>
    </row>
    <row r="511" spans="1:11" ht="25.5" customHeight="1">
      <c r="A511" s="1347" t="s">
        <v>1122</v>
      </c>
      <c r="B511" s="1345"/>
      <c r="C511" s="1346" t="s">
        <v>998</v>
      </c>
      <c r="D511" s="1347" t="s">
        <v>997</v>
      </c>
      <c r="E511" s="1360" t="s">
        <v>1432</v>
      </c>
      <c r="F511" s="622" t="s">
        <v>1362</v>
      </c>
      <c r="G511" s="622" t="s">
        <v>1363</v>
      </c>
      <c r="H511" s="623" t="s">
        <v>1364</v>
      </c>
      <c r="I511" s="624" t="s">
        <v>1365</v>
      </c>
      <c r="J511" s="624" t="s">
        <v>1366</v>
      </c>
      <c r="K511" s="624" t="s">
        <v>1367</v>
      </c>
    </row>
    <row r="512" spans="1:5" ht="15">
      <c r="A512" s="1347"/>
      <c r="B512" s="1345"/>
      <c r="C512" s="1346"/>
      <c r="D512" s="1347"/>
      <c r="E512" s="1361"/>
    </row>
    <row r="513" spans="1:5" ht="15" customHeight="1">
      <c r="A513" s="467"/>
      <c r="B513" s="467" t="s">
        <v>1123</v>
      </c>
      <c r="C513" s="509"/>
      <c r="D513" s="468"/>
      <c r="E513" s="481"/>
    </row>
    <row r="514" spans="1:5" ht="15" customHeight="1">
      <c r="A514" s="470"/>
      <c r="B514" s="470"/>
      <c r="C514" s="509">
        <v>2110100</v>
      </c>
      <c r="D514" s="468" t="s">
        <v>999</v>
      </c>
      <c r="E514" s="492">
        <f>SUM(E515)</f>
        <v>37701326</v>
      </c>
    </row>
    <row r="515" spans="1:6" ht="15" customHeight="1">
      <c r="A515" s="470"/>
      <c r="B515" s="470"/>
      <c r="C515" s="510">
        <v>2110101</v>
      </c>
      <c r="D515" s="464" t="s">
        <v>1000</v>
      </c>
      <c r="E515" s="493">
        <f>(34299600-4500000)*1.1+4521766+400000</f>
        <v>37701326</v>
      </c>
      <c r="F515" s="493">
        <f>34299600-4500000</f>
        <v>29799600</v>
      </c>
    </row>
    <row r="516" spans="1:5" ht="15" customHeight="1">
      <c r="A516" s="470"/>
      <c r="B516" s="470"/>
      <c r="C516" s="509">
        <v>2110200</v>
      </c>
      <c r="D516" s="468" t="s">
        <v>1001</v>
      </c>
      <c r="E516" s="492">
        <f>E517</f>
        <v>1000000</v>
      </c>
    </row>
    <row r="517" spans="1:6" ht="15" customHeight="1">
      <c r="A517" s="470"/>
      <c r="B517" s="470"/>
      <c r="C517" s="510">
        <v>2110202</v>
      </c>
      <c r="D517" s="464" t="s">
        <v>1002</v>
      </c>
      <c r="E517" s="493">
        <v>1000000</v>
      </c>
      <c r="F517" s="493">
        <v>500000</v>
      </c>
    </row>
    <row r="518" spans="1:5" ht="15" customHeight="1">
      <c r="A518" s="470"/>
      <c r="B518" s="470"/>
      <c r="C518" s="509">
        <v>2110300</v>
      </c>
      <c r="D518" s="468" t="s">
        <v>1003</v>
      </c>
      <c r="E518" s="492">
        <v>0</v>
      </c>
    </row>
    <row r="519" spans="1:5" ht="15" customHeight="1">
      <c r="A519" s="470"/>
      <c r="B519" s="470"/>
      <c r="C519" s="510">
        <v>2110301</v>
      </c>
      <c r="D519" s="464" t="s">
        <v>1004</v>
      </c>
      <c r="E519" s="493"/>
    </row>
    <row r="520" spans="1:5" ht="15" customHeight="1">
      <c r="A520" s="470"/>
      <c r="B520" s="470"/>
      <c r="C520" s="510">
        <v>2110302</v>
      </c>
      <c r="D520" s="464" t="s">
        <v>1005</v>
      </c>
      <c r="E520" s="493"/>
    </row>
    <row r="521" spans="1:5" ht="15" customHeight="1">
      <c r="A521" s="470"/>
      <c r="B521" s="470"/>
      <c r="C521" s="510">
        <v>2110303</v>
      </c>
      <c r="D521" s="464" t="s">
        <v>1006</v>
      </c>
      <c r="E521" s="493"/>
    </row>
    <row r="522" spans="1:5" ht="15" customHeight="1">
      <c r="A522" s="470"/>
      <c r="B522" s="470"/>
      <c r="C522" s="510">
        <v>2110314</v>
      </c>
      <c r="D522" s="464" t="s">
        <v>1007</v>
      </c>
      <c r="E522" s="493"/>
    </row>
    <row r="523" spans="1:5" ht="15" customHeight="1">
      <c r="A523" s="470"/>
      <c r="B523" s="470"/>
      <c r="C523" s="510">
        <v>2110320</v>
      </c>
      <c r="D523" s="464" t="s">
        <v>1008</v>
      </c>
      <c r="E523" s="493"/>
    </row>
    <row r="524" spans="1:5" ht="15" customHeight="1">
      <c r="A524" s="470"/>
      <c r="B524" s="470"/>
      <c r="C524" s="510">
        <v>2110321</v>
      </c>
      <c r="D524" s="464" t="s">
        <v>1009</v>
      </c>
      <c r="E524" s="493"/>
    </row>
    <row r="525" spans="1:5" ht="15" customHeight="1">
      <c r="A525" s="470"/>
      <c r="B525" s="470"/>
      <c r="C525" s="510">
        <v>2110322</v>
      </c>
      <c r="D525" s="464" t="s">
        <v>1010</v>
      </c>
      <c r="E525" s="493"/>
    </row>
    <row r="526" spans="1:5" ht="15" customHeight="1">
      <c r="A526" s="470"/>
      <c r="B526" s="470"/>
      <c r="C526" s="510">
        <v>2110333</v>
      </c>
      <c r="D526" s="464" t="s">
        <v>1011</v>
      </c>
      <c r="E526" s="493"/>
    </row>
    <row r="527" spans="1:5" ht="15" customHeight="1">
      <c r="A527" s="470"/>
      <c r="B527" s="470"/>
      <c r="C527" s="509">
        <v>2120100</v>
      </c>
      <c r="D527" s="468" t="s">
        <v>1012</v>
      </c>
      <c r="E527" s="492">
        <f>E530+E529+E528</f>
        <v>0</v>
      </c>
    </row>
    <row r="528" spans="1:5" ht="15" customHeight="1">
      <c r="A528" s="470"/>
      <c r="B528" s="470"/>
      <c r="C528" s="509">
        <v>2120101</v>
      </c>
      <c r="D528" s="464" t="s">
        <v>1013</v>
      </c>
      <c r="E528" s="493">
        <v>0</v>
      </c>
    </row>
    <row r="529" spans="1:5" ht="15" customHeight="1">
      <c r="A529" s="470"/>
      <c r="B529" s="470"/>
      <c r="C529" s="510">
        <v>2120102</v>
      </c>
      <c r="D529" s="464" t="s">
        <v>1125</v>
      </c>
      <c r="E529" s="493">
        <v>0</v>
      </c>
    </row>
    <row r="530" spans="1:5" ht="15" customHeight="1">
      <c r="A530" s="470"/>
      <c r="B530" s="470"/>
      <c r="C530" s="510">
        <v>2120103</v>
      </c>
      <c r="D530" s="464" t="s">
        <v>1126</v>
      </c>
      <c r="E530" s="493">
        <v>0</v>
      </c>
    </row>
    <row r="531" spans="1:5" ht="15" customHeight="1">
      <c r="A531" s="470"/>
      <c r="B531" s="470"/>
      <c r="C531" s="509">
        <v>2210100</v>
      </c>
      <c r="D531" s="468" t="s">
        <v>1015</v>
      </c>
      <c r="E531" s="492">
        <f>E534+E533+E532</f>
        <v>250000</v>
      </c>
    </row>
    <row r="532" spans="1:6" ht="15" customHeight="1">
      <c r="A532" s="470"/>
      <c r="B532" s="470"/>
      <c r="C532" s="510">
        <v>2210101</v>
      </c>
      <c r="D532" s="464" t="s">
        <v>1016</v>
      </c>
      <c r="E532" s="493">
        <v>100000</v>
      </c>
      <c r="F532" s="493">
        <v>100000</v>
      </c>
    </row>
    <row r="533" spans="1:6" ht="15" customHeight="1">
      <c r="A533" s="470"/>
      <c r="B533" s="470"/>
      <c r="C533" s="510">
        <v>2210102</v>
      </c>
      <c r="D533" s="464" t="s">
        <v>1017</v>
      </c>
      <c r="E533" s="493">
        <v>100000</v>
      </c>
      <c r="F533" s="493">
        <v>100000</v>
      </c>
    </row>
    <row r="534" spans="1:6" ht="15" customHeight="1">
      <c r="A534" s="470"/>
      <c r="B534" s="470"/>
      <c r="C534" s="510">
        <v>2210106</v>
      </c>
      <c r="D534" s="464" t="s">
        <v>1018</v>
      </c>
      <c r="E534" s="493">
        <v>50000</v>
      </c>
      <c r="F534" s="493">
        <v>50000</v>
      </c>
    </row>
    <row r="535" spans="1:5" ht="15" customHeight="1">
      <c r="A535" s="470"/>
      <c r="B535" s="470"/>
      <c r="C535" s="509">
        <v>2210200</v>
      </c>
      <c r="D535" s="468" t="s">
        <v>1019</v>
      </c>
      <c r="E535" s="492">
        <f>E538+E537+E536</f>
        <v>3450000</v>
      </c>
    </row>
    <row r="536" spans="1:7" ht="15" customHeight="1">
      <c r="A536" s="470"/>
      <c r="B536" s="470"/>
      <c r="C536" s="510">
        <v>2210201</v>
      </c>
      <c r="D536" s="464" t="s">
        <v>1020</v>
      </c>
      <c r="E536" s="493">
        <v>1500000</v>
      </c>
      <c r="G536" s="493">
        <v>1500000</v>
      </c>
    </row>
    <row r="537" spans="1:7" ht="15" customHeight="1">
      <c r="A537" s="470"/>
      <c r="B537" s="470"/>
      <c r="C537" s="510">
        <v>2210202</v>
      </c>
      <c r="D537" s="464" t="s">
        <v>1021</v>
      </c>
      <c r="E537" s="493">
        <f>700000+800000</f>
        <v>1500000</v>
      </c>
      <c r="G537" s="493">
        <v>700000</v>
      </c>
    </row>
    <row r="538" spans="1:7" ht="15" customHeight="1">
      <c r="A538" s="470"/>
      <c r="B538" s="470"/>
      <c r="C538" s="510">
        <v>2210206</v>
      </c>
      <c r="D538" s="464" t="s">
        <v>1022</v>
      </c>
      <c r="E538" s="493">
        <f>150000+300000</f>
        <v>450000</v>
      </c>
      <c r="G538" s="493">
        <v>150000</v>
      </c>
    </row>
    <row r="539" spans="1:5" ht="15" customHeight="1">
      <c r="A539" s="470"/>
      <c r="B539" s="470"/>
      <c r="C539" s="509">
        <v>2210300</v>
      </c>
      <c r="D539" s="468" t="s">
        <v>1023</v>
      </c>
      <c r="E539" s="492">
        <f>E542+E541+E540</f>
        <v>6000000</v>
      </c>
    </row>
    <row r="540" spans="1:6" ht="15" customHeight="1">
      <c r="A540" s="470"/>
      <c r="B540" s="470"/>
      <c r="C540" s="510">
        <v>2210301</v>
      </c>
      <c r="D540" s="464" t="s">
        <v>1024</v>
      </c>
      <c r="E540" s="493">
        <f>1500000+1000000</f>
        <v>2500000</v>
      </c>
      <c r="F540" s="493">
        <v>1500000</v>
      </c>
    </row>
    <row r="541" spans="1:6" ht="15" customHeight="1">
      <c r="A541" s="470"/>
      <c r="B541" s="470"/>
      <c r="C541" s="510">
        <v>2210302</v>
      </c>
      <c r="D541" s="464" t="s">
        <v>1025</v>
      </c>
      <c r="E541" s="493">
        <v>2000000</v>
      </c>
      <c r="F541" s="493">
        <v>2000000</v>
      </c>
    </row>
    <row r="542" spans="1:6" ht="15" customHeight="1">
      <c r="A542" s="470"/>
      <c r="B542" s="470"/>
      <c r="C542" s="510">
        <v>2210303</v>
      </c>
      <c r="D542" s="464" t="s">
        <v>1026</v>
      </c>
      <c r="E542" s="493">
        <v>1500000</v>
      </c>
      <c r="F542" s="493">
        <v>1500000</v>
      </c>
    </row>
    <row r="543" spans="1:5" ht="15" customHeight="1">
      <c r="A543" s="470"/>
      <c r="B543" s="470"/>
      <c r="C543" s="460">
        <v>2210400</v>
      </c>
      <c r="D543" s="486" t="s">
        <v>1127</v>
      </c>
      <c r="E543" s="492">
        <v>0</v>
      </c>
    </row>
    <row r="544" spans="1:5" ht="15" customHeight="1">
      <c r="A544" s="470"/>
      <c r="B544" s="470"/>
      <c r="C544" s="459">
        <v>2210401</v>
      </c>
      <c r="D544" s="487" t="s">
        <v>1024</v>
      </c>
      <c r="E544" s="493"/>
    </row>
    <row r="545" spans="1:5" ht="15" customHeight="1">
      <c r="A545" s="470"/>
      <c r="B545" s="470"/>
      <c r="C545" s="459">
        <v>2210402</v>
      </c>
      <c r="D545" s="487" t="s">
        <v>1128</v>
      </c>
      <c r="E545" s="493"/>
    </row>
    <row r="546" spans="1:5" ht="15" customHeight="1">
      <c r="A546" s="470"/>
      <c r="B546" s="470"/>
      <c r="C546" s="459">
        <v>2210403</v>
      </c>
      <c r="D546" s="487" t="s">
        <v>1129</v>
      </c>
      <c r="E546" s="493"/>
    </row>
    <row r="547" spans="1:5" ht="15" customHeight="1">
      <c r="A547" s="470"/>
      <c r="B547" s="470"/>
      <c r="C547" s="459">
        <v>2210404</v>
      </c>
      <c r="D547" s="487" t="s">
        <v>1130</v>
      </c>
      <c r="E547" s="493"/>
    </row>
    <row r="548" spans="1:5" ht="15" customHeight="1">
      <c r="A548" s="473"/>
      <c r="B548" s="473"/>
      <c r="C548" s="509">
        <v>2210500</v>
      </c>
      <c r="D548" s="468" t="s">
        <v>1029</v>
      </c>
      <c r="E548" s="492">
        <f>E553+E552+E551+E550+E549</f>
        <v>7700000</v>
      </c>
    </row>
    <row r="549" spans="1:6" ht="15" customHeight="1">
      <c r="A549" s="470"/>
      <c r="B549" s="470"/>
      <c r="C549" s="510">
        <v>2210502</v>
      </c>
      <c r="D549" s="464" t="s">
        <v>1030</v>
      </c>
      <c r="E549" s="493">
        <v>2000000</v>
      </c>
      <c r="F549" s="493">
        <v>2000000</v>
      </c>
    </row>
    <row r="550" spans="1:6" ht="15" customHeight="1">
      <c r="A550" s="470"/>
      <c r="B550" s="470"/>
      <c r="C550" s="510">
        <v>2210503</v>
      </c>
      <c r="D550" s="464" t="s">
        <v>1031</v>
      </c>
      <c r="E550" s="493">
        <v>700000</v>
      </c>
      <c r="F550" s="493">
        <v>700000</v>
      </c>
    </row>
    <row r="551" spans="1:6" ht="15" customHeight="1">
      <c r="A551" s="470"/>
      <c r="B551" s="470"/>
      <c r="C551" s="510">
        <v>2210504</v>
      </c>
      <c r="D551" s="464" t="s">
        <v>1032</v>
      </c>
      <c r="E551" s="493">
        <f>2000000+1500000</f>
        <v>3500000</v>
      </c>
      <c r="F551" s="493">
        <v>2000000</v>
      </c>
    </row>
    <row r="552" spans="1:6" ht="15" customHeight="1">
      <c r="A552" s="470"/>
      <c r="B552" s="470"/>
      <c r="C552" s="510">
        <v>2210505</v>
      </c>
      <c r="D552" s="464" t="s">
        <v>1033</v>
      </c>
      <c r="E552" s="493">
        <f>1000000+500000</f>
        <v>1500000</v>
      </c>
      <c r="F552" s="493">
        <v>1000000</v>
      </c>
    </row>
    <row r="553" spans="1:5" ht="15" customHeight="1">
      <c r="A553" s="470"/>
      <c r="B553" s="470"/>
      <c r="C553" s="510">
        <v>2210599</v>
      </c>
      <c r="D553" s="464" t="s">
        <v>1034</v>
      </c>
      <c r="E553" s="493">
        <v>0</v>
      </c>
    </row>
    <row r="554" spans="1:5" ht="15" customHeight="1">
      <c r="A554" s="470"/>
      <c r="B554" s="470"/>
      <c r="C554" s="509">
        <v>2210600</v>
      </c>
      <c r="D554" s="468" t="s">
        <v>1035</v>
      </c>
      <c r="E554" s="492">
        <f>E557</f>
        <v>1000000</v>
      </c>
    </row>
    <row r="555" spans="1:5" ht="15" customHeight="1">
      <c r="A555" s="470"/>
      <c r="B555" s="470"/>
      <c r="C555" s="510">
        <v>2210602</v>
      </c>
      <c r="D555" s="464" t="s">
        <v>1036</v>
      </c>
      <c r="E555" s="493"/>
    </row>
    <row r="556" spans="1:5" ht="15" customHeight="1">
      <c r="A556" s="470"/>
      <c r="B556" s="470"/>
      <c r="C556" s="510">
        <v>2210603</v>
      </c>
      <c r="D556" s="464" t="s">
        <v>1037</v>
      </c>
      <c r="E556" s="493"/>
    </row>
    <row r="557" spans="1:6" ht="15" customHeight="1">
      <c r="A557" s="470"/>
      <c r="B557" s="470"/>
      <c r="C557" s="510">
        <v>2210604</v>
      </c>
      <c r="D557" s="464" t="s">
        <v>1038</v>
      </c>
      <c r="E557" s="493">
        <f>500000+500000</f>
        <v>1000000</v>
      </c>
      <c r="F557" s="493">
        <v>500000</v>
      </c>
    </row>
    <row r="558" spans="1:5" ht="15" customHeight="1">
      <c r="A558" s="470"/>
      <c r="B558" s="470"/>
      <c r="C558" s="509">
        <v>2210700</v>
      </c>
      <c r="D558" s="468" t="s">
        <v>1039</v>
      </c>
      <c r="E558" s="492">
        <f>E567+E566+E565+E564+E563+E562+E561+E560+E559</f>
        <v>8500000</v>
      </c>
    </row>
    <row r="559" spans="1:10" ht="15" customHeight="1">
      <c r="A559" s="470"/>
      <c r="B559" s="470"/>
      <c r="C559" s="510">
        <v>2210701</v>
      </c>
      <c r="D559" s="464" t="s">
        <v>1040</v>
      </c>
      <c r="E559" s="493">
        <v>1000000</v>
      </c>
      <c r="J559" s="493">
        <v>1000000</v>
      </c>
    </row>
    <row r="560" spans="1:10" ht="15" customHeight="1">
      <c r="A560" s="470"/>
      <c r="B560" s="470"/>
      <c r="C560" s="510">
        <v>2210702</v>
      </c>
      <c r="D560" s="464" t="s">
        <v>1041</v>
      </c>
      <c r="E560" s="493">
        <f>500000+1000000</f>
        <v>1500000</v>
      </c>
      <c r="J560" s="493">
        <v>500000</v>
      </c>
    </row>
    <row r="561" spans="1:10" ht="15" customHeight="1">
      <c r="A561" s="470"/>
      <c r="B561" s="470"/>
      <c r="C561" s="510">
        <v>2210703</v>
      </c>
      <c r="D561" s="464" t="s">
        <v>1042</v>
      </c>
      <c r="E561" s="493">
        <v>500000</v>
      </c>
      <c r="J561" s="493">
        <v>500000</v>
      </c>
    </row>
    <row r="562" spans="1:10" ht="15" customHeight="1">
      <c r="A562" s="470"/>
      <c r="B562" s="470"/>
      <c r="C562" s="510">
        <v>2210704</v>
      </c>
      <c r="D562" s="464" t="s">
        <v>1043</v>
      </c>
      <c r="E562" s="493">
        <f>250000+750000</f>
        <v>1000000</v>
      </c>
      <c r="J562" s="493">
        <v>250000</v>
      </c>
    </row>
    <row r="563" spans="1:10" ht="15" customHeight="1">
      <c r="A563" s="470"/>
      <c r="B563" s="470"/>
      <c r="C563" s="510">
        <v>2210710</v>
      </c>
      <c r="D563" s="464" t="s">
        <v>1044</v>
      </c>
      <c r="E563" s="493">
        <v>1000000</v>
      </c>
      <c r="J563" s="493">
        <v>1000000</v>
      </c>
    </row>
    <row r="564" spans="1:10" ht="15" customHeight="1">
      <c r="A564" s="470"/>
      <c r="B564" s="470"/>
      <c r="C564" s="510">
        <v>2210711</v>
      </c>
      <c r="D564" s="464" t="s">
        <v>1045</v>
      </c>
      <c r="E564" s="493">
        <v>1000000</v>
      </c>
      <c r="J564" s="493">
        <v>1000000</v>
      </c>
    </row>
    <row r="565" spans="1:10" ht="15" customHeight="1">
      <c r="A565" s="470"/>
      <c r="B565" s="470"/>
      <c r="C565" s="510">
        <v>2210713</v>
      </c>
      <c r="D565" s="464" t="s">
        <v>1046</v>
      </c>
      <c r="E565" s="493">
        <v>0</v>
      </c>
      <c r="J565" s="493">
        <v>0</v>
      </c>
    </row>
    <row r="566" spans="1:10" ht="15" customHeight="1">
      <c r="A566" s="470"/>
      <c r="B566" s="470"/>
      <c r="C566" s="510">
        <v>2210716</v>
      </c>
      <c r="D566" s="464" t="s">
        <v>1047</v>
      </c>
      <c r="E566" s="494">
        <f>500000+500000</f>
        <v>1000000</v>
      </c>
      <c r="J566" s="493">
        <v>500000</v>
      </c>
    </row>
    <row r="567" spans="1:10" ht="15" customHeight="1">
      <c r="A567" s="470"/>
      <c r="B567" s="470"/>
      <c r="C567" s="510">
        <v>2210799</v>
      </c>
      <c r="D567" s="464" t="s">
        <v>1039</v>
      </c>
      <c r="E567" s="494">
        <v>1500000</v>
      </c>
      <c r="J567" s="493">
        <v>1500000</v>
      </c>
    </row>
    <row r="568" spans="1:5" ht="15" customHeight="1">
      <c r="A568" s="470"/>
      <c r="B568" s="470"/>
      <c r="C568" s="509">
        <v>2210800</v>
      </c>
      <c r="D568" s="468" t="s">
        <v>1049</v>
      </c>
      <c r="E568" s="492">
        <f>E570+E569</f>
        <v>2500000</v>
      </c>
    </row>
    <row r="569" spans="1:7" ht="15" customHeight="1">
      <c r="A569" s="470"/>
      <c r="B569" s="470"/>
      <c r="C569" s="510">
        <v>2210801</v>
      </c>
      <c r="D569" s="464" t="s">
        <v>1050</v>
      </c>
      <c r="E569" s="494">
        <v>1000000</v>
      </c>
      <c r="G569" s="493">
        <v>1000000</v>
      </c>
    </row>
    <row r="570" spans="1:7" ht="15" customHeight="1">
      <c r="A570" s="470"/>
      <c r="B570" s="470"/>
      <c r="C570" s="510">
        <v>2210802</v>
      </c>
      <c r="D570" s="464" t="s">
        <v>1131</v>
      </c>
      <c r="E570" s="494">
        <v>1500000</v>
      </c>
      <c r="G570" s="493">
        <v>1500000</v>
      </c>
    </row>
    <row r="571" spans="1:5" ht="15" customHeight="1">
      <c r="A571" s="470"/>
      <c r="B571" s="470"/>
      <c r="C571" s="509">
        <v>2210900</v>
      </c>
      <c r="D571" s="468" t="s">
        <v>1052</v>
      </c>
      <c r="E571" s="492">
        <v>0</v>
      </c>
    </row>
    <row r="572" spans="1:5" ht="15" customHeight="1">
      <c r="A572" s="470"/>
      <c r="B572" s="470"/>
      <c r="C572" s="510">
        <v>2210901</v>
      </c>
      <c r="D572" s="464" t="s">
        <v>1053</v>
      </c>
      <c r="E572" s="493"/>
    </row>
    <row r="573" spans="1:5" ht="15" customHeight="1">
      <c r="A573" s="470"/>
      <c r="B573" s="470"/>
      <c r="C573" s="510">
        <v>2210902</v>
      </c>
      <c r="D573" s="464" t="s">
        <v>1054</v>
      </c>
      <c r="E573" s="493"/>
    </row>
    <row r="574" spans="1:5" ht="15" customHeight="1">
      <c r="A574" s="470"/>
      <c r="B574" s="470"/>
      <c r="C574" s="510">
        <v>2210904</v>
      </c>
      <c r="D574" s="464" t="s">
        <v>1055</v>
      </c>
      <c r="E574" s="493"/>
    </row>
    <row r="575" spans="1:5" ht="15" customHeight="1">
      <c r="A575" s="470"/>
      <c r="B575" s="470"/>
      <c r="C575" s="510">
        <v>2210910</v>
      </c>
      <c r="D575" s="464" t="s">
        <v>1056</v>
      </c>
      <c r="E575" s="493"/>
    </row>
    <row r="576" spans="1:5" ht="15" customHeight="1">
      <c r="A576" s="470"/>
      <c r="B576" s="470"/>
      <c r="C576" s="509">
        <v>2211000</v>
      </c>
      <c r="D576" s="468" t="s">
        <v>1057</v>
      </c>
      <c r="E576" s="492">
        <v>0</v>
      </c>
    </row>
    <row r="577" spans="1:5" ht="15" customHeight="1">
      <c r="A577" s="470"/>
      <c r="B577" s="470"/>
      <c r="C577" s="510">
        <v>2211001</v>
      </c>
      <c r="D577" s="464" t="s">
        <v>1058</v>
      </c>
      <c r="E577" s="492"/>
    </row>
    <row r="578" spans="1:5" ht="15" customHeight="1">
      <c r="A578" s="470"/>
      <c r="B578" s="470"/>
      <c r="C578" s="510">
        <v>2211003</v>
      </c>
      <c r="D578" s="464" t="s">
        <v>1132</v>
      </c>
      <c r="E578" s="492"/>
    </row>
    <row r="579" spans="1:5" ht="15" customHeight="1">
      <c r="A579" s="470"/>
      <c r="B579" s="470"/>
      <c r="C579" s="510">
        <v>2211004</v>
      </c>
      <c r="D579" s="464" t="s">
        <v>1060</v>
      </c>
      <c r="E579" s="492"/>
    </row>
    <row r="580" spans="1:5" ht="15" customHeight="1">
      <c r="A580" s="470"/>
      <c r="B580" s="470"/>
      <c r="C580" s="510">
        <v>2211006</v>
      </c>
      <c r="D580" s="464" t="s">
        <v>1061</v>
      </c>
      <c r="E580" s="493">
        <v>0</v>
      </c>
    </row>
    <row r="581" spans="1:5" ht="15" customHeight="1">
      <c r="A581" s="470"/>
      <c r="B581" s="470"/>
      <c r="C581" s="510">
        <v>2211007</v>
      </c>
      <c r="D581" s="464" t="s">
        <v>1133</v>
      </c>
      <c r="E581" s="493">
        <v>0</v>
      </c>
    </row>
    <row r="582" spans="1:5" ht="15" customHeight="1">
      <c r="A582" s="470"/>
      <c r="B582" s="470"/>
      <c r="C582" s="510">
        <v>2211015</v>
      </c>
      <c r="D582" s="464" t="s">
        <v>1063</v>
      </c>
      <c r="E582" s="493">
        <v>0</v>
      </c>
    </row>
    <row r="583" spans="1:5" ht="15" customHeight="1">
      <c r="A583" s="470"/>
      <c r="B583" s="470"/>
      <c r="C583" s="510">
        <v>2211016</v>
      </c>
      <c r="D583" s="464" t="s">
        <v>1064</v>
      </c>
      <c r="E583" s="493">
        <v>0</v>
      </c>
    </row>
    <row r="584" spans="1:5" ht="15" customHeight="1">
      <c r="A584" s="470"/>
      <c r="B584" s="470"/>
      <c r="C584" s="510">
        <v>2211023</v>
      </c>
      <c r="D584" s="464" t="s">
        <v>1065</v>
      </c>
      <c r="E584" s="493"/>
    </row>
    <row r="585" spans="1:5" ht="15" customHeight="1">
      <c r="A585" s="470"/>
      <c r="B585" s="470"/>
      <c r="C585" s="510">
        <v>2211026</v>
      </c>
      <c r="D585" s="464" t="s">
        <v>1134</v>
      </c>
      <c r="E585" s="493"/>
    </row>
    <row r="586" spans="1:5" ht="15" customHeight="1">
      <c r="A586" s="470"/>
      <c r="B586" s="470"/>
      <c r="C586" s="509">
        <v>2211100</v>
      </c>
      <c r="D586" s="468" t="s">
        <v>1067</v>
      </c>
      <c r="E586" s="492">
        <f>E589+E588+E587</f>
        <v>3750000</v>
      </c>
    </row>
    <row r="587" spans="1:6" ht="15" customHeight="1">
      <c r="A587" s="470"/>
      <c r="B587" s="470"/>
      <c r="C587" s="510">
        <v>2211101</v>
      </c>
      <c r="D587" s="464" t="s">
        <v>1135</v>
      </c>
      <c r="E587" s="494">
        <v>1500000</v>
      </c>
      <c r="F587" s="493">
        <v>1500000</v>
      </c>
    </row>
    <row r="588" spans="1:6" ht="15" customHeight="1">
      <c r="A588" s="470"/>
      <c r="B588" s="470"/>
      <c r="C588" s="510">
        <v>2211102</v>
      </c>
      <c r="D588" s="464" t="s">
        <v>1069</v>
      </c>
      <c r="E588" s="494">
        <f>500000+1500000</f>
        <v>2000000</v>
      </c>
      <c r="F588" s="493">
        <v>500000</v>
      </c>
    </row>
    <row r="589" spans="1:6" ht="15" customHeight="1">
      <c r="A589" s="470"/>
      <c r="B589" s="470"/>
      <c r="C589" s="510">
        <v>2211103</v>
      </c>
      <c r="D589" s="464" t="s">
        <v>1070</v>
      </c>
      <c r="E589" s="494">
        <v>250000</v>
      </c>
      <c r="F589" s="493">
        <v>250000</v>
      </c>
    </row>
    <row r="590" spans="1:5" ht="15" customHeight="1">
      <c r="A590" s="470"/>
      <c r="B590" s="470"/>
      <c r="C590" s="509">
        <v>2211200</v>
      </c>
      <c r="D590" s="468" t="s">
        <v>1071</v>
      </c>
      <c r="E590" s="492">
        <f>E592+E591</f>
        <v>3500000</v>
      </c>
    </row>
    <row r="591" spans="1:6" ht="15" customHeight="1">
      <c r="A591" s="470"/>
      <c r="B591" s="470"/>
      <c r="C591" s="510">
        <v>2211201</v>
      </c>
      <c r="D591" s="464" t="s">
        <v>1072</v>
      </c>
      <c r="E591" s="494">
        <v>2000000</v>
      </c>
      <c r="F591" s="493">
        <v>2000000</v>
      </c>
    </row>
    <row r="592" spans="1:6" ht="15" customHeight="1">
      <c r="A592" s="470"/>
      <c r="B592" s="470"/>
      <c r="C592" s="510">
        <v>2211201</v>
      </c>
      <c r="D592" s="464" t="s">
        <v>1136</v>
      </c>
      <c r="E592" s="494">
        <v>1500000</v>
      </c>
      <c r="F592" s="493">
        <v>1500000</v>
      </c>
    </row>
    <row r="593" spans="1:5" ht="15" customHeight="1">
      <c r="A593" s="473"/>
      <c r="B593" s="473"/>
      <c r="C593" s="509">
        <v>2211300</v>
      </c>
      <c r="D593" s="468" t="s">
        <v>1074</v>
      </c>
      <c r="E593" s="492">
        <f>E603+E602+E601+E600+E599+E598+E597+E596+E595+E594</f>
        <v>2500000</v>
      </c>
    </row>
    <row r="594" spans="1:5" ht="15" customHeight="1">
      <c r="A594" s="470"/>
      <c r="B594" s="470"/>
      <c r="C594" s="511">
        <v>2211301</v>
      </c>
      <c r="D594" s="464" t="s">
        <v>1075</v>
      </c>
      <c r="E594" s="493">
        <v>0</v>
      </c>
    </row>
    <row r="595" spans="1:5" ht="15" customHeight="1">
      <c r="A595" s="470"/>
      <c r="B595" s="470"/>
      <c r="C595" s="511">
        <v>2211304</v>
      </c>
      <c r="D595" s="464" t="s">
        <v>1076</v>
      </c>
      <c r="E595" s="493">
        <v>0</v>
      </c>
    </row>
    <row r="596" spans="1:5" ht="15" customHeight="1">
      <c r="A596" s="470"/>
      <c r="B596" s="470"/>
      <c r="C596" s="511">
        <v>2211308</v>
      </c>
      <c r="D596" s="464" t="s">
        <v>1077</v>
      </c>
      <c r="E596" s="493">
        <v>0</v>
      </c>
    </row>
    <row r="597" spans="1:5" ht="15" customHeight="1">
      <c r="A597" s="470"/>
      <c r="B597" s="470"/>
      <c r="C597" s="511">
        <v>2211309</v>
      </c>
      <c r="D597" s="464" t="s">
        <v>1078</v>
      </c>
      <c r="E597" s="493">
        <v>0</v>
      </c>
    </row>
    <row r="598" spans="1:11" ht="15" customHeight="1">
      <c r="A598" s="470"/>
      <c r="B598" s="470"/>
      <c r="C598" s="511">
        <v>2211310</v>
      </c>
      <c r="D598" s="464" t="s">
        <v>1137</v>
      </c>
      <c r="E598" s="493">
        <v>1000000</v>
      </c>
      <c r="K598" s="493">
        <v>1000000</v>
      </c>
    </row>
    <row r="599" spans="1:5" ht="15" customHeight="1">
      <c r="A599" s="470"/>
      <c r="B599" s="470"/>
      <c r="C599" s="511">
        <v>2211311</v>
      </c>
      <c r="D599" s="464" t="s">
        <v>1080</v>
      </c>
      <c r="E599" s="493"/>
    </row>
    <row r="600" spans="1:5" ht="15" customHeight="1">
      <c r="A600" s="470"/>
      <c r="B600" s="470"/>
      <c r="C600" s="511">
        <v>2211313</v>
      </c>
      <c r="D600" s="464" t="s">
        <v>1082</v>
      </c>
      <c r="E600" s="493">
        <v>0</v>
      </c>
    </row>
    <row r="601" spans="1:5" ht="15" customHeight="1">
      <c r="A601" s="470"/>
      <c r="B601" s="470"/>
      <c r="C601" s="511">
        <v>2211314</v>
      </c>
      <c r="D601" s="464" t="s">
        <v>1083</v>
      </c>
      <c r="E601" s="493">
        <v>0</v>
      </c>
    </row>
    <row r="602" spans="1:8" ht="15" customHeight="1">
      <c r="A602" s="470"/>
      <c r="B602" s="470"/>
      <c r="C602" s="511">
        <v>2211329</v>
      </c>
      <c r="D602" s="464" t="s">
        <v>1084</v>
      </c>
      <c r="E602" s="493">
        <v>750000</v>
      </c>
      <c r="H602" s="493">
        <v>750000</v>
      </c>
    </row>
    <row r="603" spans="1:8" ht="15" customHeight="1">
      <c r="A603" s="470"/>
      <c r="B603" s="470"/>
      <c r="C603" s="511">
        <v>2211399</v>
      </c>
      <c r="D603" s="464" t="s">
        <v>1074</v>
      </c>
      <c r="E603" s="493">
        <v>750000</v>
      </c>
      <c r="H603" s="493">
        <v>2500000</v>
      </c>
    </row>
    <row r="604" spans="1:5" ht="15" customHeight="1">
      <c r="A604" s="473"/>
      <c r="B604" s="473"/>
      <c r="C604" s="509">
        <v>2220100</v>
      </c>
      <c r="D604" s="468" t="s">
        <v>1086</v>
      </c>
      <c r="E604" s="492">
        <f>E605</f>
        <v>2500000</v>
      </c>
    </row>
    <row r="605" spans="1:6" ht="15" customHeight="1">
      <c r="A605" s="470"/>
      <c r="B605" s="470"/>
      <c r="C605" s="510">
        <v>2220101</v>
      </c>
      <c r="D605" s="464" t="s">
        <v>1138</v>
      </c>
      <c r="E605" s="494">
        <f>2000000+500000</f>
        <v>2500000</v>
      </c>
      <c r="F605" s="493">
        <v>2000000</v>
      </c>
    </row>
    <row r="606" spans="1:5" ht="15" customHeight="1">
      <c r="A606" s="473"/>
      <c r="B606" s="473"/>
      <c r="C606" s="509">
        <v>2220200</v>
      </c>
      <c r="D606" s="468" t="s">
        <v>1088</v>
      </c>
      <c r="E606" s="492">
        <v>0</v>
      </c>
    </row>
    <row r="607" spans="1:5" ht="15" customHeight="1">
      <c r="A607" s="470"/>
      <c r="B607" s="470"/>
      <c r="C607" s="510">
        <v>2220201</v>
      </c>
      <c r="D607" s="464" t="s">
        <v>1089</v>
      </c>
      <c r="E607" s="493">
        <v>0</v>
      </c>
    </row>
    <row r="608" spans="1:5" ht="15" customHeight="1">
      <c r="A608" s="470"/>
      <c r="B608" s="470"/>
      <c r="C608" s="510">
        <v>2220205</v>
      </c>
      <c r="D608" s="464" t="s">
        <v>1090</v>
      </c>
      <c r="E608" s="493">
        <v>0</v>
      </c>
    </row>
    <row r="609" spans="1:5" ht="15" customHeight="1">
      <c r="A609" s="470"/>
      <c r="B609" s="470"/>
      <c r="C609" s="510">
        <v>2220206</v>
      </c>
      <c r="D609" s="464" t="s">
        <v>1091</v>
      </c>
      <c r="E609" s="493">
        <v>0</v>
      </c>
    </row>
    <row r="610" spans="1:5" ht="15" customHeight="1">
      <c r="A610" s="470"/>
      <c r="B610" s="470"/>
      <c r="C610" s="510">
        <v>2220207</v>
      </c>
      <c r="D610" s="464" t="s">
        <v>1092</v>
      </c>
      <c r="E610" s="493">
        <v>0</v>
      </c>
    </row>
    <row r="611" spans="1:5" ht="15" customHeight="1">
      <c r="A611" s="470"/>
      <c r="B611" s="470"/>
      <c r="C611" s="510">
        <v>2220210</v>
      </c>
      <c r="D611" s="464" t="s">
        <v>1093</v>
      </c>
      <c r="E611" s="493">
        <v>0</v>
      </c>
    </row>
    <row r="612" spans="1:5" ht="15" customHeight="1">
      <c r="A612" s="470"/>
      <c r="B612" s="470"/>
      <c r="C612" s="510">
        <v>2220204</v>
      </c>
      <c r="D612" s="464" t="s">
        <v>1094</v>
      </c>
      <c r="E612" s="493">
        <v>0</v>
      </c>
    </row>
    <row r="613" spans="1:5" ht="15" customHeight="1">
      <c r="A613" s="470"/>
      <c r="B613" s="470"/>
      <c r="C613" s="510">
        <v>2220299</v>
      </c>
      <c r="D613" s="464" t="s">
        <v>1088</v>
      </c>
      <c r="E613" s="493">
        <v>0</v>
      </c>
    </row>
    <row r="614" spans="1:5" ht="15" customHeight="1">
      <c r="A614" s="470"/>
      <c r="B614" s="470"/>
      <c r="C614" s="510">
        <v>2220206</v>
      </c>
      <c r="D614" s="464" t="s">
        <v>1091</v>
      </c>
      <c r="E614" s="493">
        <v>0</v>
      </c>
    </row>
    <row r="615" spans="1:5" ht="15" customHeight="1">
      <c r="A615" s="470"/>
      <c r="B615" s="470"/>
      <c r="C615" s="509">
        <v>2620100</v>
      </c>
      <c r="D615" s="468" t="s">
        <v>1095</v>
      </c>
      <c r="E615" s="492">
        <f>E616</f>
        <v>350000</v>
      </c>
    </row>
    <row r="616" spans="1:7" ht="15" customHeight="1">
      <c r="A616" s="470"/>
      <c r="B616" s="470"/>
      <c r="C616" s="510">
        <v>2620161</v>
      </c>
      <c r="D616" s="464" t="s">
        <v>1096</v>
      </c>
      <c r="E616" s="494">
        <v>350000</v>
      </c>
      <c r="G616" s="493">
        <v>350000</v>
      </c>
    </row>
    <row r="617" spans="1:5" ht="15" customHeight="1">
      <c r="A617" s="470"/>
      <c r="B617" s="470"/>
      <c r="C617" s="509">
        <v>2640100</v>
      </c>
      <c r="D617" s="468" t="s">
        <v>1097</v>
      </c>
      <c r="E617" s="492">
        <v>0</v>
      </c>
    </row>
    <row r="618" spans="1:5" ht="15" customHeight="1">
      <c r="A618" s="470"/>
      <c r="B618" s="470"/>
      <c r="C618" s="510">
        <v>2640105</v>
      </c>
      <c r="D618" s="464" t="s">
        <v>1098</v>
      </c>
      <c r="E618" s="493"/>
    </row>
    <row r="619" spans="1:5" ht="15" customHeight="1">
      <c r="A619" s="470"/>
      <c r="B619" s="470"/>
      <c r="C619" s="510">
        <v>2649999</v>
      </c>
      <c r="D619" s="464" t="s">
        <v>1097</v>
      </c>
      <c r="E619" s="493"/>
    </row>
    <row r="620" spans="1:5" ht="15" customHeight="1">
      <c r="A620" s="470"/>
      <c r="B620" s="470"/>
      <c r="C620" s="509">
        <v>2640200</v>
      </c>
      <c r="D620" s="468" t="s">
        <v>1099</v>
      </c>
      <c r="E620" s="492">
        <v>0</v>
      </c>
    </row>
    <row r="621" spans="1:5" ht="15" customHeight="1">
      <c r="A621" s="470"/>
      <c r="B621" s="470"/>
      <c r="C621" s="510">
        <v>2640299</v>
      </c>
      <c r="D621" s="464" t="s">
        <v>1139</v>
      </c>
      <c r="E621" s="493"/>
    </row>
    <row r="622" spans="1:5" ht="15" customHeight="1">
      <c r="A622" s="470"/>
      <c r="B622" s="470"/>
      <c r="C622" s="509">
        <v>2810200</v>
      </c>
      <c r="D622" s="468" t="s">
        <v>1101</v>
      </c>
      <c r="E622" s="492">
        <v>0</v>
      </c>
    </row>
    <row r="623" spans="1:5" ht="15" customHeight="1">
      <c r="A623" s="470"/>
      <c r="B623" s="470"/>
      <c r="C623" s="510">
        <v>2810205</v>
      </c>
      <c r="D623" s="464" t="s">
        <v>1102</v>
      </c>
      <c r="E623" s="493"/>
    </row>
    <row r="624" spans="1:5" ht="15" customHeight="1">
      <c r="A624" s="470"/>
      <c r="B624" s="470"/>
      <c r="C624" s="509">
        <v>3110300</v>
      </c>
      <c r="D624" s="468" t="s">
        <v>1103</v>
      </c>
      <c r="E624" s="492">
        <f>E626</f>
        <v>1000000</v>
      </c>
    </row>
    <row r="625" spans="1:5" ht="15" customHeight="1">
      <c r="A625" s="470"/>
      <c r="B625" s="470"/>
      <c r="C625" s="510">
        <v>3110301</v>
      </c>
      <c r="D625" s="464" t="s">
        <v>1104</v>
      </c>
      <c r="E625" s="493"/>
    </row>
    <row r="626" spans="1:6" ht="15" customHeight="1">
      <c r="A626" s="470"/>
      <c r="B626" s="470"/>
      <c r="C626" s="510">
        <v>3110302</v>
      </c>
      <c r="D626" s="464" t="s">
        <v>1105</v>
      </c>
      <c r="E626" s="494">
        <f>500000+500000</f>
        <v>1000000</v>
      </c>
      <c r="F626" s="493">
        <v>500000</v>
      </c>
    </row>
    <row r="627" spans="1:5" ht="15" customHeight="1">
      <c r="A627" s="470"/>
      <c r="B627" s="470"/>
      <c r="C627" s="509">
        <v>2710100</v>
      </c>
      <c r="D627" s="468" t="s">
        <v>1106</v>
      </c>
      <c r="E627" s="492">
        <f>E628</f>
        <v>4667214.300000001</v>
      </c>
    </row>
    <row r="628" spans="1:6" ht="15" customHeight="1">
      <c r="A628" s="470"/>
      <c r="B628" s="470"/>
      <c r="C628" s="509">
        <v>2710102</v>
      </c>
      <c r="D628" s="464" t="s">
        <v>1140</v>
      </c>
      <c r="E628" s="494">
        <v>4667214.300000001</v>
      </c>
      <c r="F628" s="493">
        <v>4667214.300000001</v>
      </c>
    </row>
    <row r="629" spans="1:5" ht="15" customHeight="1">
      <c r="A629" s="470"/>
      <c r="B629" s="470"/>
      <c r="C629" s="509">
        <v>3110700</v>
      </c>
      <c r="D629" s="468" t="s">
        <v>1108</v>
      </c>
      <c r="E629" s="492">
        <v>0</v>
      </c>
    </row>
    <row r="630" spans="1:5" ht="15" customHeight="1">
      <c r="A630" s="470"/>
      <c r="B630" s="470"/>
      <c r="C630" s="510">
        <v>3110701</v>
      </c>
      <c r="D630" s="464" t="s">
        <v>1109</v>
      </c>
      <c r="E630" s="494">
        <v>0</v>
      </c>
    </row>
    <row r="631" spans="1:5" ht="15" customHeight="1">
      <c r="A631" s="470"/>
      <c r="B631" s="470"/>
      <c r="C631" s="509">
        <v>3111000</v>
      </c>
      <c r="D631" s="468" t="s">
        <v>1110</v>
      </c>
      <c r="E631" s="492">
        <f>E633+E632</f>
        <v>0</v>
      </c>
    </row>
    <row r="632" spans="1:5" ht="15" customHeight="1">
      <c r="A632" s="470"/>
      <c r="B632" s="470"/>
      <c r="C632" s="510">
        <v>3111001</v>
      </c>
      <c r="D632" s="464" t="s">
        <v>1111</v>
      </c>
      <c r="E632" s="494">
        <v>0</v>
      </c>
    </row>
    <row r="633" spans="1:5" ht="15" customHeight="1">
      <c r="A633" s="470"/>
      <c r="B633" s="470"/>
      <c r="C633" s="510">
        <v>3111002</v>
      </c>
      <c r="D633" s="464" t="s">
        <v>1112</v>
      </c>
      <c r="E633" s="494">
        <v>0</v>
      </c>
    </row>
    <row r="634" spans="1:5" ht="15" customHeight="1">
      <c r="A634" s="470"/>
      <c r="B634" s="470"/>
      <c r="C634" s="509">
        <v>3111300</v>
      </c>
      <c r="D634" s="468" t="s">
        <v>1142</v>
      </c>
      <c r="E634" s="492">
        <v>0</v>
      </c>
    </row>
    <row r="635" spans="1:5" ht="15" customHeight="1">
      <c r="A635" s="470"/>
      <c r="B635" s="470"/>
      <c r="C635" s="510">
        <v>3111301</v>
      </c>
      <c r="D635" s="464" t="s">
        <v>971</v>
      </c>
      <c r="E635" s="493"/>
    </row>
    <row r="636" spans="1:5" ht="15" customHeight="1">
      <c r="A636" s="470"/>
      <c r="B636" s="470"/>
      <c r="C636" s="510">
        <v>3111302</v>
      </c>
      <c r="D636" s="464" t="s">
        <v>1113</v>
      </c>
      <c r="E636" s="493"/>
    </row>
    <row r="637" spans="1:5" ht="15" customHeight="1">
      <c r="A637" s="470"/>
      <c r="B637" s="470"/>
      <c r="C637" s="510">
        <v>3111305</v>
      </c>
      <c r="D637" s="464" t="s">
        <v>1114</v>
      </c>
      <c r="E637" s="493"/>
    </row>
    <row r="638" spans="1:5" ht="15" customHeight="1">
      <c r="A638" s="470"/>
      <c r="B638" s="470"/>
      <c r="C638" s="509">
        <v>3111400</v>
      </c>
      <c r="D638" s="468" t="s">
        <v>1119</v>
      </c>
      <c r="E638" s="492">
        <f>E641+E640+E639</f>
        <v>1500000</v>
      </c>
    </row>
    <row r="639" spans="1:11" ht="15" customHeight="1">
      <c r="A639" s="470"/>
      <c r="B639" s="470"/>
      <c r="C639" s="510">
        <v>3111401</v>
      </c>
      <c r="D639" s="464" t="s">
        <v>1115</v>
      </c>
      <c r="E639" s="494">
        <f>1000000+500000</f>
        <v>1500000</v>
      </c>
      <c r="K639" s="493">
        <v>1000000</v>
      </c>
    </row>
    <row r="640" spans="1:5" ht="15" customHeight="1">
      <c r="A640" s="470"/>
      <c r="B640" s="470"/>
      <c r="C640" s="510">
        <v>3111403</v>
      </c>
      <c r="D640" s="464" t="s">
        <v>1116</v>
      </c>
      <c r="E640" s="494">
        <v>0</v>
      </c>
    </row>
    <row r="641" spans="1:5" ht="15" customHeight="1">
      <c r="A641" s="470"/>
      <c r="B641" s="470"/>
      <c r="C641" s="510">
        <v>3111499</v>
      </c>
      <c r="D641" s="464" t="s">
        <v>1117</v>
      </c>
      <c r="E641" s="493">
        <v>0</v>
      </c>
    </row>
    <row r="642" spans="1:11" ht="15" customHeight="1">
      <c r="A642" s="470"/>
      <c r="B642" s="1375" t="s">
        <v>1144</v>
      </c>
      <c r="C642" s="1376"/>
      <c r="D642" s="1377"/>
      <c r="E642" s="522">
        <f>E514+E516+E527+E531+E535+E548+E554+E558+E568+E586+E590+E593+E604+E615+E624+E627+E631+E638+E539</f>
        <v>87868540.3</v>
      </c>
      <c r="F642" s="616">
        <f aca="true" t="shared" si="1" ref="F642:K642">SUM(F515:F641)</f>
        <v>54666814.3</v>
      </c>
      <c r="G642" s="616">
        <f t="shared" si="1"/>
        <v>5200000</v>
      </c>
      <c r="H642" s="616">
        <f t="shared" si="1"/>
        <v>3250000</v>
      </c>
      <c r="I642" s="616">
        <f t="shared" si="1"/>
        <v>0</v>
      </c>
      <c r="J642" s="616">
        <f t="shared" si="1"/>
        <v>6250000</v>
      </c>
      <c r="K642" s="616">
        <f t="shared" si="1"/>
        <v>2000000</v>
      </c>
    </row>
    <row r="643" spans="1:5" ht="15" customHeight="1">
      <c r="A643" s="1378"/>
      <c r="B643" s="1379"/>
      <c r="C643" s="1379"/>
      <c r="D643" s="1379"/>
      <c r="E643" s="1380"/>
    </row>
    <row r="644" spans="1:5" ht="15" customHeight="1">
      <c r="A644" s="1390"/>
      <c r="B644" s="1391"/>
      <c r="C644" s="1391"/>
      <c r="D644" s="1391"/>
      <c r="E644" s="1392"/>
    </row>
    <row r="645" spans="1:5" ht="15.75">
      <c r="A645" s="1356" t="s">
        <v>1120</v>
      </c>
      <c r="B645" s="1357"/>
      <c r="C645" s="1357"/>
      <c r="D645" s="1357"/>
      <c r="E645" s="1357"/>
    </row>
    <row r="646" spans="1:5" ht="15.75">
      <c r="A646" s="1353" t="s">
        <v>2049</v>
      </c>
      <c r="B646" s="1354"/>
      <c r="C646" s="1354"/>
      <c r="D646" s="1354"/>
      <c r="E646" s="1354"/>
    </row>
    <row r="647" spans="1:5" ht="39" customHeight="1">
      <c r="A647" s="1373" t="s">
        <v>1251</v>
      </c>
      <c r="B647" s="1374"/>
      <c r="C647" s="1374"/>
      <c r="D647" s="1374"/>
      <c r="E647" s="1374"/>
    </row>
    <row r="648" spans="1:5" ht="38.25" customHeight="1">
      <c r="A648" s="1347" t="s">
        <v>1122</v>
      </c>
      <c r="B648" s="1345"/>
      <c r="C648" s="478" t="s">
        <v>998</v>
      </c>
      <c r="D648" s="486" t="s">
        <v>997</v>
      </c>
      <c r="E648" s="515" t="s">
        <v>1432</v>
      </c>
    </row>
    <row r="649" spans="1:5" ht="15" customHeight="1">
      <c r="A649" s="1347"/>
      <c r="B649" s="1345"/>
      <c r="C649" s="478">
        <v>2110100</v>
      </c>
      <c r="D649" s="479" t="s">
        <v>1169</v>
      </c>
      <c r="E649" s="480">
        <f>SUM(E650)</f>
        <v>127765709.43040001</v>
      </c>
    </row>
    <row r="650" spans="1:5" ht="15" customHeight="1">
      <c r="A650" s="467"/>
      <c r="B650" s="467" t="s">
        <v>1123</v>
      </c>
      <c r="C650" s="510">
        <v>2110101</v>
      </c>
      <c r="D650" s="465" t="s">
        <v>1170</v>
      </c>
      <c r="E650" s="466">
        <f>('[2]SALARY COMPUTATION 2016-2017'!$D$23-7000000-1000000)*1.06+15083724</f>
        <v>127765709.43040001</v>
      </c>
    </row>
    <row r="651" spans="1:5" ht="15" customHeight="1">
      <c r="A651" s="465"/>
      <c r="B651" s="465"/>
      <c r="C651" s="460">
        <v>2210100</v>
      </c>
      <c r="D651" s="486" t="s">
        <v>1015</v>
      </c>
      <c r="E651" s="462">
        <f>E652+E653</f>
        <v>300000</v>
      </c>
    </row>
    <row r="652" spans="1:5" ht="15" customHeight="1">
      <c r="A652" s="465"/>
      <c r="B652" s="465"/>
      <c r="C652" s="459">
        <v>2210101</v>
      </c>
      <c r="D652" s="487" t="s">
        <v>1016</v>
      </c>
      <c r="E652" s="461">
        <v>100000</v>
      </c>
    </row>
    <row r="653" spans="1:5" ht="15" customHeight="1">
      <c r="A653" s="465"/>
      <c r="B653" s="465"/>
      <c r="C653" s="459">
        <v>2210102</v>
      </c>
      <c r="D653" s="487" t="s">
        <v>1017</v>
      </c>
      <c r="E653" s="461">
        <v>200000</v>
      </c>
    </row>
    <row r="654" spans="1:5" ht="15" customHeight="1">
      <c r="A654" s="465"/>
      <c r="B654" s="465"/>
      <c r="C654" s="460">
        <v>2210200</v>
      </c>
      <c r="D654" s="486" t="s">
        <v>1019</v>
      </c>
      <c r="E654" s="462">
        <f>E655+E656</f>
        <v>400000</v>
      </c>
    </row>
    <row r="655" spans="1:5" ht="15" customHeight="1">
      <c r="A655" s="465"/>
      <c r="B655" s="465"/>
      <c r="C655" s="459">
        <v>2210201</v>
      </c>
      <c r="D655" s="487" t="s">
        <v>1020</v>
      </c>
      <c r="E655" s="461">
        <v>300000</v>
      </c>
    </row>
    <row r="656" spans="1:5" ht="15" customHeight="1">
      <c r="A656" s="465"/>
      <c r="B656" s="465"/>
      <c r="C656" s="459">
        <v>2210202</v>
      </c>
      <c r="D656" s="487" t="s">
        <v>1021</v>
      </c>
      <c r="E656" s="461">
        <v>100000</v>
      </c>
    </row>
    <row r="657" spans="1:5" ht="15" customHeight="1">
      <c r="A657" s="465"/>
      <c r="B657" s="465"/>
      <c r="C657" s="460">
        <v>2210300</v>
      </c>
      <c r="D657" s="486" t="s">
        <v>1023</v>
      </c>
      <c r="E657" s="462">
        <f>E658+E659+E660</f>
        <v>4000000</v>
      </c>
    </row>
    <row r="658" spans="1:5" ht="15" customHeight="1">
      <c r="A658" s="465"/>
      <c r="B658" s="465"/>
      <c r="C658" s="459">
        <v>2210301</v>
      </c>
      <c r="D658" s="487" t="s">
        <v>1024</v>
      </c>
      <c r="E658" s="461">
        <v>1000000</v>
      </c>
    </row>
    <row r="659" spans="1:5" ht="15" customHeight="1">
      <c r="A659" s="465"/>
      <c r="B659" s="465"/>
      <c r="C659" s="459">
        <v>2210302</v>
      </c>
      <c r="D659" s="487" t="s">
        <v>1128</v>
      </c>
      <c r="E659" s="461">
        <v>1000000</v>
      </c>
    </row>
    <row r="660" spans="1:5" ht="15" customHeight="1">
      <c r="A660" s="465"/>
      <c r="B660" s="465"/>
      <c r="C660" s="459">
        <v>2210303</v>
      </c>
      <c r="D660" s="487" t="s">
        <v>1129</v>
      </c>
      <c r="E660" s="461">
        <v>2000000</v>
      </c>
    </row>
    <row r="661" spans="1:5" ht="15" customHeight="1">
      <c r="A661" s="465"/>
      <c r="B661" s="465"/>
      <c r="C661" s="460">
        <v>2210500</v>
      </c>
      <c r="D661" s="486" t="s">
        <v>1029</v>
      </c>
      <c r="E661" s="462">
        <f>E662+E663+E664+E665</f>
        <v>2800000</v>
      </c>
    </row>
    <row r="662" spans="1:5" ht="15" customHeight="1">
      <c r="A662" s="465"/>
      <c r="B662" s="465"/>
      <c r="C662" s="459">
        <v>2210502</v>
      </c>
      <c r="D662" s="487" t="s">
        <v>1030</v>
      </c>
      <c r="E662" s="461">
        <v>500000</v>
      </c>
    </row>
    <row r="663" spans="1:5" ht="15" customHeight="1">
      <c r="A663" s="465"/>
      <c r="B663" s="465"/>
      <c r="C663" s="459">
        <v>2210503</v>
      </c>
      <c r="D663" s="487" t="s">
        <v>1031</v>
      </c>
      <c r="E663" s="461">
        <v>500000</v>
      </c>
    </row>
    <row r="664" spans="1:5" ht="15" customHeight="1">
      <c r="A664" s="465"/>
      <c r="B664" s="465"/>
      <c r="C664" s="459">
        <v>2210504</v>
      </c>
      <c r="D664" s="487" t="s">
        <v>1032</v>
      </c>
      <c r="E664" s="461">
        <v>500000</v>
      </c>
    </row>
    <row r="665" spans="1:5" ht="15" customHeight="1">
      <c r="A665" s="465"/>
      <c r="B665" s="465"/>
      <c r="C665" s="459">
        <v>2210599</v>
      </c>
      <c r="D665" s="487" t="s">
        <v>1034</v>
      </c>
      <c r="E665" s="461">
        <v>1300000</v>
      </c>
    </row>
    <row r="666" spans="1:5" ht="15" customHeight="1">
      <c r="A666" s="465"/>
      <c r="B666" s="465"/>
      <c r="C666" s="460">
        <v>2210600</v>
      </c>
      <c r="D666" s="486" t="s">
        <v>1153</v>
      </c>
      <c r="E666" s="462">
        <f>E667</f>
        <v>2000000</v>
      </c>
    </row>
    <row r="667" spans="1:5" ht="15" customHeight="1">
      <c r="A667" s="465"/>
      <c r="B667" s="465"/>
      <c r="C667" s="459">
        <v>2210604</v>
      </c>
      <c r="D667" s="487" t="s">
        <v>1038</v>
      </c>
      <c r="E667" s="461">
        <v>2000000</v>
      </c>
    </row>
    <row r="668" spans="1:5" ht="15" customHeight="1">
      <c r="A668" s="465"/>
      <c r="B668" s="465"/>
      <c r="C668" s="460">
        <v>2210700</v>
      </c>
      <c r="D668" s="486" t="s">
        <v>1039</v>
      </c>
      <c r="E668" s="462">
        <f>E669+E670</f>
        <v>1500000</v>
      </c>
    </row>
    <row r="669" spans="1:5" ht="15" customHeight="1">
      <c r="A669" s="465"/>
      <c r="B669" s="465"/>
      <c r="C669" s="459">
        <v>2210710</v>
      </c>
      <c r="D669" s="487" t="s">
        <v>1171</v>
      </c>
      <c r="E669" s="461">
        <v>1000000</v>
      </c>
    </row>
    <row r="670" spans="1:5" ht="15" customHeight="1">
      <c r="A670" s="465"/>
      <c r="B670" s="465"/>
      <c r="C670" s="459">
        <v>2210799</v>
      </c>
      <c r="D670" s="487" t="s">
        <v>1039</v>
      </c>
      <c r="E670" s="461">
        <v>500000</v>
      </c>
    </row>
    <row r="671" spans="1:5" ht="15" customHeight="1">
      <c r="A671" s="465"/>
      <c r="B671" s="465"/>
      <c r="C671" s="460">
        <v>2210800</v>
      </c>
      <c r="D671" s="486" t="s">
        <v>1049</v>
      </c>
      <c r="E671" s="462">
        <f>E672+E673</f>
        <v>2300000</v>
      </c>
    </row>
    <row r="672" spans="1:5" ht="15" customHeight="1">
      <c r="A672" s="465"/>
      <c r="B672" s="465"/>
      <c r="C672" s="459">
        <v>2210801</v>
      </c>
      <c r="D672" s="487" t="s">
        <v>1158</v>
      </c>
      <c r="E672" s="461">
        <v>1000000</v>
      </c>
    </row>
    <row r="673" spans="1:5" ht="15" customHeight="1">
      <c r="A673" s="465"/>
      <c r="B673" s="465"/>
      <c r="C673" s="459">
        <v>2210802</v>
      </c>
      <c r="D673" s="487" t="s">
        <v>1131</v>
      </c>
      <c r="E673" s="461">
        <v>1300000</v>
      </c>
    </row>
    <row r="674" spans="1:5" ht="15" customHeight="1">
      <c r="A674" s="465"/>
      <c r="B674" s="465"/>
      <c r="C674" s="509">
        <v>2211000</v>
      </c>
      <c r="D674" s="496" t="s">
        <v>1057</v>
      </c>
      <c r="E674" s="462">
        <f>E675</f>
        <v>30000000</v>
      </c>
    </row>
    <row r="675" spans="1:5" ht="15" customHeight="1">
      <c r="A675" s="465"/>
      <c r="B675" s="465"/>
      <c r="C675" s="510">
        <v>2211015</v>
      </c>
      <c r="D675" s="497" t="s">
        <v>2221</v>
      </c>
      <c r="E675" s="461">
        <v>30000000</v>
      </c>
    </row>
    <row r="676" spans="1:5" ht="15" customHeight="1">
      <c r="A676" s="465"/>
      <c r="B676" s="465"/>
      <c r="C676" s="460">
        <v>2211100</v>
      </c>
      <c r="D676" s="486" t="s">
        <v>1067</v>
      </c>
      <c r="E676" s="462">
        <f>E677+E678+E679</f>
        <v>1500000</v>
      </c>
    </row>
    <row r="677" spans="1:5" ht="15" customHeight="1">
      <c r="A677" s="465"/>
      <c r="B677" s="465"/>
      <c r="C677" s="459">
        <v>2211101</v>
      </c>
      <c r="D677" s="487" t="s">
        <v>1135</v>
      </c>
      <c r="E677" s="461">
        <v>1000000</v>
      </c>
    </row>
    <row r="678" spans="1:5" ht="15" customHeight="1">
      <c r="A678" s="465"/>
      <c r="B678" s="465"/>
      <c r="C678" s="459">
        <v>2211102</v>
      </c>
      <c r="D678" s="487" t="s">
        <v>1069</v>
      </c>
      <c r="E678" s="461">
        <v>300000</v>
      </c>
    </row>
    <row r="679" spans="1:5" ht="15" customHeight="1">
      <c r="A679" s="465"/>
      <c r="B679" s="465"/>
      <c r="C679" s="459">
        <v>2211103</v>
      </c>
      <c r="D679" s="487" t="s">
        <v>1070</v>
      </c>
      <c r="E679" s="461">
        <v>200000</v>
      </c>
    </row>
    <row r="680" spans="1:5" ht="15" customHeight="1">
      <c r="A680" s="465"/>
      <c r="B680" s="465"/>
      <c r="C680" s="460">
        <v>2211200</v>
      </c>
      <c r="D680" s="486" t="s">
        <v>1071</v>
      </c>
      <c r="E680" s="462">
        <f>SUM(E681)</f>
        <v>3000000</v>
      </c>
    </row>
    <row r="681" spans="1:5" ht="15" customHeight="1">
      <c r="A681" s="465"/>
      <c r="B681" s="465"/>
      <c r="C681" s="459">
        <v>2211201</v>
      </c>
      <c r="D681" s="487" t="s">
        <v>1072</v>
      </c>
      <c r="E681" s="461">
        <v>3000000</v>
      </c>
    </row>
    <row r="682" spans="1:5" ht="15" customHeight="1">
      <c r="A682" s="465"/>
      <c r="B682" s="465"/>
      <c r="C682" s="460">
        <v>2211300</v>
      </c>
      <c r="D682" s="486" t="s">
        <v>1074</v>
      </c>
      <c r="E682" s="462">
        <f>E683+E684+E685+E686+E687</f>
        <v>1000000</v>
      </c>
    </row>
    <row r="683" spans="1:5" ht="15" customHeight="1">
      <c r="A683" s="465"/>
      <c r="B683" s="465"/>
      <c r="C683" s="477">
        <v>2211301</v>
      </c>
      <c r="D683" s="487" t="s">
        <v>1075</v>
      </c>
      <c r="E683" s="461">
        <v>0</v>
      </c>
    </row>
    <row r="684" spans="1:5" ht="15" customHeight="1">
      <c r="A684" s="465"/>
      <c r="B684" s="465"/>
      <c r="C684" s="477">
        <v>2211310</v>
      </c>
      <c r="D684" s="487" t="s">
        <v>1137</v>
      </c>
      <c r="E684" s="461">
        <v>0</v>
      </c>
    </row>
    <row r="685" spans="1:5" ht="15" customHeight="1">
      <c r="A685" s="465"/>
      <c r="B685" s="465"/>
      <c r="C685" s="477">
        <v>2211311</v>
      </c>
      <c r="D685" s="487" t="s">
        <v>1080</v>
      </c>
      <c r="E685" s="461">
        <v>500000</v>
      </c>
    </row>
    <row r="686" spans="1:5" ht="15" customHeight="1">
      <c r="A686" s="465"/>
      <c r="B686" s="465"/>
      <c r="C686" s="477">
        <v>2211313</v>
      </c>
      <c r="D686" s="487" t="s">
        <v>1082</v>
      </c>
      <c r="E686" s="461">
        <v>500000</v>
      </c>
    </row>
    <row r="687" spans="1:5" ht="15" customHeight="1">
      <c r="A687" s="465"/>
      <c r="B687" s="465"/>
      <c r="C687" s="477">
        <v>2211399</v>
      </c>
      <c r="D687" s="487" t="s">
        <v>1074</v>
      </c>
      <c r="E687" s="461">
        <v>0</v>
      </c>
    </row>
    <row r="688" spans="1:5" ht="15" customHeight="1">
      <c r="A688" s="465"/>
      <c r="B688" s="465"/>
      <c r="C688" s="460">
        <v>2220100</v>
      </c>
      <c r="D688" s="486" t="s">
        <v>1086</v>
      </c>
      <c r="E688" s="462">
        <f>E689</f>
        <v>1500000</v>
      </c>
    </row>
    <row r="689" spans="1:5" ht="15" customHeight="1">
      <c r="A689" s="465"/>
      <c r="B689" s="465"/>
      <c r="C689" s="459">
        <v>2220101</v>
      </c>
      <c r="D689" s="487" t="s">
        <v>1138</v>
      </c>
      <c r="E689" s="461">
        <v>1500000</v>
      </c>
    </row>
    <row r="690" spans="1:5" ht="15" customHeight="1">
      <c r="A690" s="465"/>
      <c r="B690" s="465"/>
      <c r="C690" s="460">
        <v>2220200</v>
      </c>
      <c r="D690" s="486" t="s">
        <v>1088</v>
      </c>
      <c r="E690" s="462">
        <f>E691+E692</f>
        <v>500000</v>
      </c>
    </row>
    <row r="691" spans="1:5" ht="15" customHeight="1">
      <c r="A691" s="465"/>
      <c r="B691" s="465"/>
      <c r="C691" s="459">
        <v>2220210</v>
      </c>
      <c r="D691" s="487" t="s">
        <v>1093</v>
      </c>
      <c r="E691" s="461">
        <v>300000</v>
      </c>
    </row>
    <row r="692" spans="1:5" ht="15" customHeight="1">
      <c r="A692" s="465"/>
      <c r="B692" s="465"/>
      <c r="C692" s="459">
        <v>2220204</v>
      </c>
      <c r="D692" s="487" t="s">
        <v>1094</v>
      </c>
      <c r="E692" s="461">
        <v>200000</v>
      </c>
    </row>
    <row r="693" spans="1:5" ht="15" customHeight="1">
      <c r="A693" s="465"/>
      <c r="B693" s="465"/>
      <c r="C693" s="460">
        <v>2620100</v>
      </c>
      <c r="D693" s="486" t="s">
        <v>1095</v>
      </c>
      <c r="E693" s="462">
        <f>E694</f>
        <v>0</v>
      </c>
    </row>
    <row r="694" spans="1:5" ht="15" customHeight="1">
      <c r="A694" s="465"/>
      <c r="B694" s="465"/>
      <c r="C694" s="459">
        <v>2620161</v>
      </c>
      <c r="D694" s="487" t="s">
        <v>1096</v>
      </c>
      <c r="E694" s="461">
        <v>0</v>
      </c>
    </row>
    <row r="695" spans="1:5" ht="15" customHeight="1">
      <c r="A695" s="465"/>
      <c r="B695" s="465"/>
      <c r="C695" s="460">
        <v>2640100</v>
      </c>
      <c r="D695" s="486" t="s">
        <v>1097</v>
      </c>
      <c r="E695" s="462">
        <f>E696</f>
        <v>45000000</v>
      </c>
    </row>
    <row r="696" spans="1:5" ht="15" customHeight="1">
      <c r="A696" s="465"/>
      <c r="B696" s="465"/>
      <c r="C696" s="459">
        <v>2649999</v>
      </c>
      <c r="D696" s="487" t="s">
        <v>1097</v>
      </c>
      <c r="E696" s="461">
        <v>45000000</v>
      </c>
    </row>
    <row r="697" spans="1:5" ht="15" customHeight="1">
      <c r="A697" s="465"/>
      <c r="B697" s="465"/>
      <c r="C697" s="460">
        <v>3110300</v>
      </c>
      <c r="D697" s="486" t="s">
        <v>1103</v>
      </c>
      <c r="E697" s="462">
        <f>E698</f>
        <v>1500000</v>
      </c>
    </row>
    <row r="698" spans="1:5" ht="15" customHeight="1">
      <c r="A698" s="465"/>
      <c r="B698" s="465"/>
      <c r="C698" s="459">
        <v>3110302</v>
      </c>
      <c r="D698" s="487" t="s">
        <v>1105</v>
      </c>
      <c r="E698" s="461">
        <v>1500000</v>
      </c>
    </row>
    <row r="699" spans="1:5" ht="15" customHeight="1">
      <c r="A699" s="465"/>
      <c r="B699" s="465"/>
      <c r="C699" s="460">
        <v>3111000</v>
      </c>
      <c r="D699" s="486" t="s">
        <v>1110</v>
      </c>
      <c r="E699" s="462">
        <f>E700+E701</f>
        <v>0</v>
      </c>
    </row>
    <row r="700" spans="1:5" ht="15" customHeight="1">
      <c r="A700" s="465"/>
      <c r="B700" s="465"/>
      <c r="C700" s="459">
        <v>3111101</v>
      </c>
      <c r="D700" s="487" t="s">
        <v>1111</v>
      </c>
      <c r="E700" s="461">
        <v>0</v>
      </c>
    </row>
    <row r="701" spans="1:5" ht="15" customHeight="1">
      <c r="A701" s="465"/>
      <c r="B701" s="465"/>
      <c r="C701" s="459">
        <v>3111002</v>
      </c>
      <c r="D701" s="487" t="s">
        <v>1172</v>
      </c>
      <c r="E701" s="461">
        <v>0</v>
      </c>
    </row>
    <row r="702" spans="1:5" ht="15" customHeight="1">
      <c r="A702" s="465"/>
      <c r="B702" s="465"/>
      <c r="C702" s="460">
        <v>3111400</v>
      </c>
      <c r="D702" s="486" t="s">
        <v>1119</v>
      </c>
      <c r="E702" s="462">
        <f>E703+E704</f>
        <v>0</v>
      </c>
    </row>
    <row r="703" spans="1:5" ht="15" customHeight="1">
      <c r="A703" s="465"/>
      <c r="B703" s="465"/>
      <c r="C703" s="459">
        <v>3111401</v>
      </c>
      <c r="D703" s="487" t="s">
        <v>1115</v>
      </c>
      <c r="E703" s="461">
        <v>0</v>
      </c>
    </row>
    <row r="704" spans="1:5" ht="15" customHeight="1">
      <c r="A704" s="465"/>
      <c r="B704" s="465"/>
      <c r="C704" s="459">
        <v>3111499</v>
      </c>
      <c r="D704" s="487" t="s">
        <v>1117</v>
      </c>
      <c r="E704" s="461">
        <v>0</v>
      </c>
    </row>
    <row r="705" spans="1:5" ht="15" customHeight="1">
      <c r="A705" s="465"/>
      <c r="B705" s="465"/>
      <c r="C705" s="460">
        <v>2510100</v>
      </c>
      <c r="D705" s="486" t="s">
        <v>1948</v>
      </c>
      <c r="E705" s="462">
        <f>E706</f>
        <v>5000000</v>
      </c>
    </row>
    <row r="706" spans="1:5" ht="15" customHeight="1">
      <c r="A706" s="465"/>
      <c r="B706" s="465"/>
      <c r="C706" s="459">
        <v>2510118</v>
      </c>
      <c r="D706" s="487" t="s">
        <v>1947</v>
      </c>
      <c r="E706" s="461">
        <v>5000000</v>
      </c>
    </row>
    <row r="707" spans="1:5" ht="15" customHeight="1">
      <c r="A707" s="465"/>
      <c r="B707" s="465"/>
      <c r="C707" s="459"/>
      <c r="D707" s="487"/>
      <c r="E707" s="461"/>
    </row>
    <row r="708" spans="1:5" ht="15" customHeight="1">
      <c r="A708" s="465"/>
      <c r="B708" s="1375" t="s">
        <v>1144</v>
      </c>
      <c r="C708" s="1376"/>
      <c r="D708" s="1377"/>
      <c r="E708" s="521">
        <f>E649+E651+E654+E657+E661+E666+E668+E671+E676+E680+E682+E688+E690+E693+E695+E697+E699+E702+E674+E705</f>
        <v>230065709.4304</v>
      </c>
    </row>
    <row r="709" spans="1:5" ht="15" customHeight="1">
      <c r="A709" s="1378"/>
      <c r="B709" s="1379"/>
      <c r="C709" s="1379"/>
      <c r="D709" s="1379"/>
      <c r="E709" s="1380"/>
    </row>
    <row r="710" spans="1:5" ht="15" customHeight="1">
      <c r="A710" s="1390"/>
      <c r="B710" s="1391"/>
      <c r="C710" s="1391"/>
      <c r="D710" s="1391"/>
      <c r="E710" s="1392"/>
    </row>
    <row r="711" spans="1:5" ht="15" customHeight="1">
      <c r="A711" s="1356" t="s">
        <v>1120</v>
      </c>
      <c r="B711" s="1357"/>
      <c r="C711" s="1357"/>
      <c r="D711" s="1357"/>
      <c r="E711" s="1357"/>
    </row>
    <row r="712" spans="1:5" ht="15" customHeight="1">
      <c r="A712" s="1353" t="s">
        <v>1431</v>
      </c>
      <c r="B712" s="1354"/>
      <c r="C712" s="1354"/>
      <c r="D712" s="1354"/>
      <c r="E712" s="1354"/>
    </row>
    <row r="713" spans="1:5" ht="15" customHeight="1">
      <c r="A713" s="1358" t="s">
        <v>1250</v>
      </c>
      <c r="B713" s="1359"/>
      <c r="C713" s="1359"/>
      <c r="D713" s="1359"/>
      <c r="E713" s="1359"/>
    </row>
    <row r="714" spans="1:5" ht="31.5">
      <c r="A714" s="1347" t="s">
        <v>1122</v>
      </c>
      <c r="B714" s="1345"/>
      <c r="C714" s="512" t="s">
        <v>998</v>
      </c>
      <c r="D714" s="495" t="s">
        <v>997</v>
      </c>
      <c r="E714" s="515" t="s">
        <v>1432</v>
      </c>
    </row>
    <row r="715" spans="1:13" ht="10.5" customHeight="1">
      <c r="A715" s="1347"/>
      <c r="B715" s="1345"/>
      <c r="C715" s="512"/>
      <c r="D715" s="495"/>
      <c r="E715" s="618"/>
      <c r="F715" s="625" t="s">
        <v>1368</v>
      </c>
      <c r="G715" s="625" t="s">
        <v>1369</v>
      </c>
      <c r="H715" s="625" t="s">
        <v>1370</v>
      </c>
      <c r="I715" s="625" t="s">
        <v>1371</v>
      </c>
      <c r="J715" s="625" t="s">
        <v>1372</v>
      </c>
      <c r="K715" s="625" t="s">
        <v>1373</v>
      </c>
      <c r="L715" s="625" t="s">
        <v>1374</v>
      </c>
      <c r="M715" s="625" t="s">
        <v>1375</v>
      </c>
    </row>
    <row r="716" spans="1:6" ht="15" customHeight="1">
      <c r="A716" s="467"/>
      <c r="B716" s="467" t="s">
        <v>1123</v>
      </c>
      <c r="C716" s="510">
        <v>2110101</v>
      </c>
      <c r="D716" s="465" t="s">
        <v>2050</v>
      </c>
      <c r="E716" s="480">
        <f>('[3]Sheet3'!$R$67-12000000+1300000)*1.06+92344939</f>
        <v>772201836.9200001</v>
      </c>
      <c r="F716" s="480">
        <f>'[3]Sheet3'!$R$67-12000000+1300000</f>
        <v>641374432</v>
      </c>
    </row>
    <row r="717" spans="1:6" ht="15" customHeight="1">
      <c r="A717" s="465"/>
      <c r="B717" s="465"/>
      <c r="C717" s="510">
        <v>2110202</v>
      </c>
      <c r="D717" s="497" t="s">
        <v>1002</v>
      </c>
      <c r="E717" s="480">
        <v>10000000</v>
      </c>
      <c r="F717" s="616">
        <v>10000000</v>
      </c>
    </row>
    <row r="718" spans="1:5" ht="15" customHeight="1">
      <c r="A718" s="465"/>
      <c r="B718" s="465"/>
      <c r="C718" s="509">
        <v>2210100</v>
      </c>
      <c r="D718" s="496" t="s">
        <v>1015</v>
      </c>
      <c r="E718" s="480">
        <f>E719+E720+E721</f>
        <v>5500000</v>
      </c>
    </row>
    <row r="719" spans="1:6" ht="15" customHeight="1">
      <c r="A719" s="465"/>
      <c r="B719" s="465"/>
      <c r="C719" s="510">
        <v>2210101</v>
      </c>
      <c r="D719" s="497" t="s">
        <v>1016</v>
      </c>
      <c r="E719" s="466">
        <v>3500000</v>
      </c>
      <c r="F719" s="616">
        <v>3500000</v>
      </c>
    </row>
    <row r="720" spans="1:6" ht="15" customHeight="1">
      <c r="A720" s="465"/>
      <c r="B720" s="465"/>
      <c r="C720" s="510">
        <v>2210102</v>
      </c>
      <c r="D720" s="497" t="s">
        <v>1017</v>
      </c>
      <c r="E720" s="466">
        <v>2000000</v>
      </c>
      <c r="F720" s="616">
        <v>2000000</v>
      </c>
    </row>
    <row r="721" spans="1:5" ht="15" customHeight="1">
      <c r="A721" s="465"/>
      <c r="B721" s="465"/>
      <c r="C721" s="510">
        <v>2210106</v>
      </c>
      <c r="D721" s="497" t="s">
        <v>1015</v>
      </c>
      <c r="E721" s="466"/>
    </row>
    <row r="722" spans="1:5" ht="15" customHeight="1">
      <c r="A722" s="465"/>
      <c r="B722" s="465"/>
      <c r="C722" s="509">
        <v>2210200</v>
      </c>
      <c r="D722" s="496" t="s">
        <v>1019</v>
      </c>
      <c r="E722" s="480">
        <f>E723+E724</f>
        <v>2000000</v>
      </c>
    </row>
    <row r="723" spans="1:6" ht="15" customHeight="1">
      <c r="A723" s="465"/>
      <c r="B723" s="465"/>
      <c r="C723" s="510">
        <v>2210201</v>
      </c>
      <c r="D723" s="497" t="s">
        <v>1020</v>
      </c>
      <c r="E723" s="466">
        <v>1300000</v>
      </c>
      <c r="F723" s="616">
        <v>1300000</v>
      </c>
    </row>
    <row r="724" spans="1:6" ht="15" customHeight="1">
      <c r="A724" s="465"/>
      <c r="B724" s="465"/>
      <c r="C724" s="510">
        <v>2210202</v>
      </c>
      <c r="D724" s="497" t="s">
        <v>1021</v>
      </c>
      <c r="E724" s="466">
        <v>700000</v>
      </c>
      <c r="F724" s="616">
        <v>700000</v>
      </c>
    </row>
    <row r="725" spans="1:5" ht="15" customHeight="1">
      <c r="A725" s="465"/>
      <c r="B725" s="465"/>
      <c r="C725" s="509">
        <v>2210300</v>
      </c>
      <c r="D725" s="496" t="s">
        <v>1023</v>
      </c>
      <c r="E725" s="480">
        <f>E726+E727+E728</f>
        <v>7000000</v>
      </c>
    </row>
    <row r="726" spans="1:10" ht="15" customHeight="1">
      <c r="A726" s="465"/>
      <c r="B726" s="465"/>
      <c r="C726" s="510">
        <v>2210301</v>
      </c>
      <c r="D726" s="497" t="s">
        <v>1024</v>
      </c>
      <c r="E726" s="466">
        <v>2500000</v>
      </c>
      <c r="J726" s="616">
        <v>2500000</v>
      </c>
    </row>
    <row r="727" spans="1:10" ht="15" customHeight="1">
      <c r="A727" s="465"/>
      <c r="B727" s="465"/>
      <c r="C727" s="510">
        <v>2210302</v>
      </c>
      <c r="D727" s="497" t="s">
        <v>1025</v>
      </c>
      <c r="E727" s="466">
        <v>2000000</v>
      </c>
      <c r="J727" s="616">
        <v>2000000</v>
      </c>
    </row>
    <row r="728" spans="1:10" ht="15" customHeight="1">
      <c r="A728" s="465"/>
      <c r="B728" s="465"/>
      <c r="C728" s="510">
        <v>2210303</v>
      </c>
      <c r="D728" s="497" t="s">
        <v>1026</v>
      </c>
      <c r="E728" s="466">
        <v>2500000</v>
      </c>
      <c r="J728" s="616">
        <v>3500000</v>
      </c>
    </row>
    <row r="729" spans="1:5" ht="15" customHeight="1">
      <c r="A729" s="465"/>
      <c r="B729" s="465"/>
      <c r="C729" s="509">
        <v>2210500</v>
      </c>
      <c r="D729" s="496" t="s">
        <v>1029</v>
      </c>
      <c r="E729" s="480">
        <f>E730+E731+E732+E733</f>
        <v>2350000</v>
      </c>
    </row>
    <row r="730" spans="1:6" ht="15" customHeight="1">
      <c r="A730" s="465"/>
      <c r="B730" s="465"/>
      <c r="C730" s="510">
        <v>2210502</v>
      </c>
      <c r="D730" s="497" t="s">
        <v>1030</v>
      </c>
      <c r="E730" s="466">
        <v>1000000</v>
      </c>
      <c r="F730" s="616">
        <v>1000000</v>
      </c>
    </row>
    <row r="731" spans="1:6" ht="15" customHeight="1">
      <c r="A731" s="465"/>
      <c r="B731" s="465"/>
      <c r="C731" s="510">
        <v>2210503</v>
      </c>
      <c r="D731" s="497" t="s">
        <v>1031</v>
      </c>
      <c r="E731" s="466">
        <v>150000</v>
      </c>
      <c r="F731" s="616">
        <v>150000</v>
      </c>
    </row>
    <row r="732" spans="1:6" ht="15" customHeight="1">
      <c r="A732" s="465"/>
      <c r="B732" s="465"/>
      <c r="C732" s="510">
        <v>2210504</v>
      </c>
      <c r="D732" s="497" t="s">
        <v>1032</v>
      </c>
      <c r="E732" s="466">
        <v>1200000</v>
      </c>
      <c r="F732" s="616">
        <v>1200000</v>
      </c>
    </row>
    <row r="733" spans="1:5" ht="15" customHeight="1">
      <c r="A733" s="465"/>
      <c r="B733" s="465"/>
      <c r="C733" s="510">
        <v>2210599</v>
      </c>
      <c r="D733" s="497" t="s">
        <v>1173</v>
      </c>
      <c r="E733" s="466"/>
    </row>
    <row r="734" spans="1:5" ht="15" customHeight="1">
      <c r="A734" s="465"/>
      <c r="B734" s="465"/>
      <c r="C734" s="509">
        <v>2210700</v>
      </c>
      <c r="D734" s="496" t="s">
        <v>1048</v>
      </c>
      <c r="E734" s="480">
        <f>E735+E736+E737+E738+E739+E740+E741</f>
        <v>6500000</v>
      </c>
    </row>
    <row r="735" spans="1:6" ht="15" customHeight="1">
      <c r="A735" s="465"/>
      <c r="B735" s="465"/>
      <c r="C735" s="509">
        <v>2210701</v>
      </c>
      <c r="D735" s="497" t="s">
        <v>1174</v>
      </c>
      <c r="E735" s="466">
        <v>500000</v>
      </c>
      <c r="F735" s="616">
        <v>500000</v>
      </c>
    </row>
    <row r="736" spans="1:6" ht="15" customHeight="1">
      <c r="A736" s="465"/>
      <c r="B736" s="465"/>
      <c r="C736" s="509">
        <v>2210703</v>
      </c>
      <c r="D736" s="497" t="s">
        <v>1175</v>
      </c>
      <c r="E736" s="466">
        <v>500000</v>
      </c>
      <c r="F736" s="616">
        <v>1000000</v>
      </c>
    </row>
    <row r="737" spans="1:6" ht="15" customHeight="1">
      <c r="A737" s="465"/>
      <c r="B737" s="465"/>
      <c r="C737" s="510">
        <v>2210704</v>
      </c>
      <c r="D737" s="497" t="s">
        <v>1043</v>
      </c>
      <c r="E737" s="466">
        <v>700000</v>
      </c>
      <c r="F737" s="616">
        <v>700000</v>
      </c>
    </row>
    <row r="738" spans="1:6" ht="15" customHeight="1">
      <c r="A738" s="465"/>
      <c r="B738" s="465"/>
      <c r="C738" s="510">
        <v>2210710</v>
      </c>
      <c r="D738" s="497" t="s">
        <v>1176</v>
      </c>
      <c r="E738" s="466">
        <v>300000</v>
      </c>
      <c r="F738" s="616">
        <v>300000</v>
      </c>
    </row>
    <row r="739" spans="1:6" ht="15" customHeight="1">
      <c r="A739" s="465"/>
      <c r="B739" s="465"/>
      <c r="C739" s="510">
        <v>2210711</v>
      </c>
      <c r="D739" s="497" t="s">
        <v>1177</v>
      </c>
      <c r="E739" s="466">
        <v>700000</v>
      </c>
      <c r="F739" s="616">
        <v>700000</v>
      </c>
    </row>
    <row r="740" spans="1:6" ht="15" customHeight="1">
      <c r="A740" s="465"/>
      <c r="B740" s="465"/>
      <c r="C740" s="510">
        <v>2210799</v>
      </c>
      <c r="D740" s="497" t="s">
        <v>2213</v>
      </c>
      <c r="E740" s="466">
        <v>3800000</v>
      </c>
      <c r="F740" s="616">
        <v>3800000</v>
      </c>
    </row>
    <row r="741" spans="1:5" ht="15" customHeight="1">
      <c r="A741" s="465"/>
      <c r="B741" s="465"/>
      <c r="C741" s="510">
        <v>2210713</v>
      </c>
      <c r="D741" s="497" t="s">
        <v>1046</v>
      </c>
      <c r="E741" s="466">
        <v>0</v>
      </c>
    </row>
    <row r="742" spans="1:5" ht="15" customHeight="1">
      <c r="A742" s="465"/>
      <c r="B742" s="465"/>
      <c r="C742" s="509">
        <v>2210800</v>
      </c>
      <c r="D742" s="496" t="s">
        <v>1049</v>
      </c>
      <c r="E742" s="480">
        <f>E743+E744</f>
        <v>2000000</v>
      </c>
    </row>
    <row r="743" spans="1:6" ht="15" customHeight="1">
      <c r="A743" s="465"/>
      <c r="B743" s="465"/>
      <c r="C743" s="510">
        <v>2210801</v>
      </c>
      <c r="D743" s="497" t="s">
        <v>1050</v>
      </c>
      <c r="E743" s="466">
        <v>1000000</v>
      </c>
      <c r="F743" s="616">
        <v>1000000</v>
      </c>
    </row>
    <row r="744" spans="1:6" ht="15" customHeight="1">
      <c r="A744" s="465"/>
      <c r="B744" s="465"/>
      <c r="C744" s="510">
        <v>2210802</v>
      </c>
      <c r="D744" s="497" t="s">
        <v>1051</v>
      </c>
      <c r="E744" s="466">
        <v>1000000</v>
      </c>
      <c r="F744" s="616">
        <v>1000000</v>
      </c>
    </row>
    <row r="745" spans="1:5" ht="15" customHeight="1">
      <c r="A745" s="465"/>
      <c r="B745" s="465"/>
      <c r="C745" s="509">
        <v>2211000</v>
      </c>
      <c r="D745" s="496" t="s">
        <v>1057</v>
      </c>
      <c r="E745" s="480">
        <f>E746+E747+E748+E749+E750+E751+E752+E753</f>
        <v>136600000</v>
      </c>
    </row>
    <row r="746" spans="1:12" ht="15" customHeight="1">
      <c r="A746" s="465"/>
      <c r="B746" s="465"/>
      <c r="C746" s="510">
        <v>2211001</v>
      </c>
      <c r="D746" s="497" t="s">
        <v>1058</v>
      </c>
      <c r="E746" s="466">
        <v>120000000</v>
      </c>
      <c r="L746" s="616">
        <v>95800000</v>
      </c>
    </row>
    <row r="747" spans="1:12" ht="15" customHeight="1">
      <c r="A747" s="465"/>
      <c r="B747" s="465"/>
      <c r="C747" s="510">
        <v>2211008</v>
      </c>
      <c r="D747" s="497" t="s">
        <v>1178</v>
      </c>
      <c r="E747" s="466">
        <v>3000000</v>
      </c>
      <c r="L747" s="616">
        <v>3000000</v>
      </c>
    </row>
    <row r="748" spans="1:5" ht="15" customHeight="1">
      <c r="A748" s="465"/>
      <c r="B748" s="465"/>
      <c r="C748" s="510">
        <v>2211003</v>
      </c>
      <c r="D748" s="497" t="s">
        <v>1059</v>
      </c>
      <c r="E748" s="466">
        <v>0</v>
      </c>
    </row>
    <row r="749" spans="1:12" ht="15" customHeight="1">
      <c r="A749" s="465"/>
      <c r="B749" s="465"/>
      <c r="C749" s="510">
        <v>2211004</v>
      </c>
      <c r="D749" s="497" t="s">
        <v>1179</v>
      </c>
      <c r="E749" s="466">
        <v>700000</v>
      </c>
      <c r="L749" s="616">
        <v>700000</v>
      </c>
    </row>
    <row r="750" spans="1:12" ht="15" customHeight="1">
      <c r="A750" s="465"/>
      <c r="B750" s="465"/>
      <c r="C750" s="510">
        <v>2211006</v>
      </c>
      <c r="D750" s="497" t="s">
        <v>1180</v>
      </c>
      <c r="E750" s="466">
        <v>3500000</v>
      </c>
      <c r="L750" s="616">
        <v>3500000</v>
      </c>
    </row>
    <row r="751" spans="1:12" ht="15" customHeight="1">
      <c r="A751" s="465"/>
      <c r="B751" s="465"/>
      <c r="C751" s="510">
        <v>2211015</v>
      </c>
      <c r="D751" s="497" t="s">
        <v>1063</v>
      </c>
      <c r="E751" s="466">
        <v>6500000</v>
      </c>
      <c r="L751" s="616">
        <v>6500000</v>
      </c>
    </row>
    <row r="752" spans="1:12" ht="15" customHeight="1">
      <c r="A752" s="465"/>
      <c r="B752" s="465"/>
      <c r="C752" s="510">
        <v>2211016</v>
      </c>
      <c r="D752" s="497" t="s">
        <v>1064</v>
      </c>
      <c r="E752" s="466">
        <v>500000</v>
      </c>
      <c r="L752" s="616">
        <v>500000</v>
      </c>
    </row>
    <row r="753" spans="1:12" ht="15" customHeight="1">
      <c r="A753" s="465"/>
      <c r="B753" s="465"/>
      <c r="C753" s="510">
        <v>2211026</v>
      </c>
      <c r="D753" s="497" t="s">
        <v>1066</v>
      </c>
      <c r="E753" s="466">
        <v>2400000</v>
      </c>
      <c r="L753" s="616">
        <v>2400000</v>
      </c>
    </row>
    <row r="754" spans="1:5" ht="15" customHeight="1">
      <c r="A754" s="465"/>
      <c r="B754" s="465"/>
      <c r="C754" s="509">
        <v>2211100</v>
      </c>
      <c r="D754" s="496" t="s">
        <v>1067</v>
      </c>
      <c r="E754" s="480">
        <f>E755+E756+E757</f>
        <v>4700000</v>
      </c>
    </row>
    <row r="755" spans="1:6" ht="15" customHeight="1">
      <c r="A755" s="465"/>
      <c r="B755" s="465"/>
      <c r="C755" s="510">
        <v>2211101</v>
      </c>
      <c r="D755" s="497" t="s">
        <v>1135</v>
      </c>
      <c r="E755" s="466">
        <v>2500000</v>
      </c>
      <c r="F755" s="616">
        <v>2500000</v>
      </c>
    </row>
    <row r="756" spans="1:6" ht="15" customHeight="1">
      <c r="A756" s="465"/>
      <c r="B756" s="465"/>
      <c r="C756" s="510">
        <v>2211102</v>
      </c>
      <c r="D756" s="497" t="s">
        <v>1069</v>
      </c>
      <c r="E756" s="466">
        <v>500000</v>
      </c>
      <c r="F756" s="616">
        <v>500000</v>
      </c>
    </row>
    <row r="757" spans="1:6" ht="15" customHeight="1">
      <c r="A757" s="465"/>
      <c r="B757" s="465"/>
      <c r="C757" s="510">
        <v>2211103</v>
      </c>
      <c r="D757" s="497" t="s">
        <v>1070</v>
      </c>
      <c r="E757" s="466">
        <v>1700000</v>
      </c>
      <c r="F757" s="616">
        <v>1700000</v>
      </c>
    </row>
    <row r="758" spans="1:5" ht="15" customHeight="1">
      <c r="A758" s="465"/>
      <c r="B758" s="465"/>
      <c r="C758" s="509">
        <v>2211200</v>
      </c>
      <c r="D758" s="496" t="s">
        <v>1071</v>
      </c>
      <c r="E758" s="480">
        <f>E759+E760</f>
        <v>13000000</v>
      </c>
    </row>
    <row r="759" spans="1:6" ht="15" customHeight="1">
      <c r="A759" s="465"/>
      <c r="B759" s="465"/>
      <c r="C759" s="510">
        <v>2211201</v>
      </c>
      <c r="D759" s="497" t="s">
        <v>1072</v>
      </c>
      <c r="E759" s="466">
        <v>13000000</v>
      </c>
      <c r="F759" s="616">
        <v>13000000</v>
      </c>
    </row>
    <row r="760" spans="1:10" ht="15" customHeight="1">
      <c r="A760" s="465"/>
      <c r="B760" s="465"/>
      <c r="C760" s="510">
        <v>2211201</v>
      </c>
      <c r="D760" s="497" t="s">
        <v>1181</v>
      </c>
      <c r="E760" s="466">
        <v>0</v>
      </c>
      <c r="J760" s="616">
        <v>2000000</v>
      </c>
    </row>
    <row r="761" spans="1:5" ht="15" customHeight="1">
      <c r="A761" s="465"/>
      <c r="B761" s="465"/>
      <c r="C761" s="509">
        <v>2211300</v>
      </c>
      <c r="D761" s="496" t="s">
        <v>1074</v>
      </c>
      <c r="E761" s="480">
        <f>SUM(E762:E766)</f>
        <v>2000000</v>
      </c>
    </row>
    <row r="762" spans="1:5" ht="15" customHeight="1">
      <c r="A762" s="465"/>
      <c r="B762" s="465"/>
      <c r="C762" s="509">
        <v>2211301</v>
      </c>
      <c r="D762" s="497" t="s">
        <v>1182</v>
      </c>
      <c r="E762" s="466"/>
    </row>
    <row r="763" spans="1:5" ht="15" customHeight="1">
      <c r="A763" s="465"/>
      <c r="B763" s="465"/>
      <c r="C763" s="509">
        <v>2211310</v>
      </c>
      <c r="D763" s="497" t="s">
        <v>1183</v>
      </c>
      <c r="E763" s="466">
        <v>0</v>
      </c>
    </row>
    <row r="764" spans="1:5" ht="15" customHeight="1">
      <c r="A764" s="465"/>
      <c r="B764" s="465"/>
      <c r="C764" s="477">
        <v>2211314</v>
      </c>
      <c r="D764" s="465" t="s">
        <v>1184</v>
      </c>
      <c r="E764" s="466"/>
    </row>
    <row r="765" spans="1:11" ht="15" customHeight="1">
      <c r="A765" s="465"/>
      <c r="B765" s="465"/>
      <c r="C765" s="477">
        <v>2211399</v>
      </c>
      <c r="D765" s="465" t="s">
        <v>1074</v>
      </c>
      <c r="E765" s="466">
        <v>0</v>
      </c>
      <c r="K765" s="616">
        <v>2900000</v>
      </c>
    </row>
    <row r="766" spans="1:6" ht="15" customHeight="1">
      <c r="A766" s="465"/>
      <c r="B766" s="465"/>
      <c r="C766" s="477">
        <v>2211329</v>
      </c>
      <c r="D766" s="465" t="s">
        <v>1185</v>
      </c>
      <c r="E766" s="466">
        <v>2000000</v>
      </c>
      <c r="F766" s="616">
        <v>2000000</v>
      </c>
    </row>
    <row r="767" spans="1:5" ht="15" customHeight="1">
      <c r="A767" s="465"/>
      <c r="B767" s="465"/>
      <c r="C767" s="509">
        <v>2220100</v>
      </c>
      <c r="D767" s="496" t="s">
        <v>1086</v>
      </c>
      <c r="E767" s="480">
        <f>E768</f>
        <v>6500000</v>
      </c>
    </row>
    <row r="768" spans="1:6" ht="15" customHeight="1">
      <c r="A768" s="465"/>
      <c r="B768" s="465"/>
      <c r="C768" s="510">
        <v>2220101</v>
      </c>
      <c r="D768" s="497" t="s">
        <v>1087</v>
      </c>
      <c r="E768" s="466">
        <v>6500000</v>
      </c>
      <c r="F768" s="616">
        <v>6500000</v>
      </c>
    </row>
    <row r="769" spans="1:5" ht="15" customHeight="1">
      <c r="A769" s="465"/>
      <c r="B769" s="465"/>
      <c r="C769" s="509">
        <v>2220200</v>
      </c>
      <c r="D769" s="496" t="s">
        <v>1088</v>
      </c>
      <c r="E769" s="480">
        <f>E770+E771+E772+E773+E774</f>
        <v>6700000</v>
      </c>
    </row>
    <row r="770" spans="1:6" ht="15" customHeight="1">
      <c r="A770" s="465"/>
      <c r="B770" s="465"/>
      <c r="C770" s="510">
        <v>2220201</v>
      </c>
      <c r="D770" s="497" t="s">
        <v>1089</v>
      </c>
      <c r="E770" s="466">
        <v>3000000</v>
      </c>
      <c r="F770" s="616">
        <v>3000000</v>
      </c>
    </row>
    <row r="771" spans="1:6" ht="15" customHeight="1">
      <c r="A771" s="465"/>
      <c r="B771" s="465"/>
      <c r="C771" s="510">
        <v>2220205</v>
      </c>
      <c r="D771" s="497" t="s">
        <v>1090</v>
      </c>
      <c r="E771" s="466">
        <v>1500000</v>
      </c>
      <c r="F771" s="616">
        <v>1500000</v>
      </c>
    </row>
    <row r="772" spans="1:6" ht="15" customHeight="1">
      <c r="A772" s="465"/>
      <c r="B772" s="465"/>
      <c r="C772" s="510">
        <v>2220206</v>
      </c>
      <c r="D772" s="497" t="s">
        <v>1186</v>
      </c>
      <c r="E772" s="466">
        <v>1000000</v>
      </c>
      <c r="F772" s="616">
        <v>1000000</v>
      </c>
    </row>
    <row r="773" spans="1:6" ht="15" customHeight="1">
      <c r="A773" s="465"/>
      <c r="B773" s="465"/>
      <c r="C773" s="510">
        <v>2220210</v>
      </c>
      <c r="D773" s="497" t="s">
        <v>1093</v>
      </c>
      <c r="E773" s="466">
        <v>700000</v>
      </c>
      <c r="F773" s="616">
        <v>700000</v>
      </c>
    </row>
    <row r="774" spans="1:6" ht="15" customHeight="1">
      <c r="A774" s="465"/>
      <c r="B774" s="465"/>
      <c r="C774" s="510">
        <v>2220204</v>
      </c>
      <c r="D774" s="497" t="s">
        <v>1187</v>
      </c>
      <c r="E774" s="466">
        <v>500000</v>
      </c>
      <c r="F774" s="616">
        <v>500000</v>
      </c>
    </row>
    <row r="775" spans="1:5" ht="15" customHeight="1">
      <c r="A775" s="465"/>
      <c r="B775" s="465"/>
      <c r="C775" s="509">
        <v>2810200</v>
      </c>
      <c r="D775" s="496" t="s">
        <v>1101</v>
      </c>
      <c r="E775" s="480">
        <f>E776+E777+E778</f>
        <v>3500000</v>
      </c>
    </row>
    <row r="776" spans="1:11" ht="15" customHeight="1">
      <c r="A776" s="465"/>
      <c r="B776" s="465"/>
      <c r="C776" s="510">
        <v>2810205</v>
      </c>
      <c r="D776" s="497" t="s">
        <v>1188</v>
      </c>
      <c r="E776" s="466">
        <v>2200000</v>
      </c>
      <c r="K776" s="616">
        <v>2200000</v>
      </c>
    </row>
    <row r="777" spans="1:5" ht="15" customHeight="1">
      <c r="A777" s="465"/>
      <c r="B777" s="465"/>
      <c r="C777" s="510">
        <v>3110300</v>
      </c>
      <c r="D777" s="497" t="s">
        <v>1189</v>
      </c>
      <c r="E777" s="466"/>
    </row>
    <row r="778" spans="1:6" ht="15" customHeight="1">
      <c r="A778" s="465"/>
      <c r="B778" s="465"/>
      <c r="C778" s="510">
        <v>3110302</v>
      </c>
      <c r="D778" s="497" t="s">
        <v>1190</v>
      </c>
      <c r="E778" s="466">
        <v>1300000</v>
      </c>
      <c r="F778" s="616">
        <v>1300000</v>
      </c>
    </row>
    <row r="779" spans="1:5" ht="15" customHeight="1">
      <c r="A779" s="465"/>
      <c r="B779" s="465"/>
      <c r="C779" s="509">
        <v>3110700</v>
      </c>
      <c r="D779" s="496" t="s">
        <v>1191</v>
      </c>
      <c r="E779" s="466">
        <f>E780</f>
        <v>0</v>
      </c>
    </row>
    <row r="780" spans="1:5" ht="15" customHeight="1">
      <c r="A780" s="465"/>
      <c r="B780" s="465"/>
      <c r="C780" s="510">
        <v>3110701</v>
      </c>
      <c r="D780" s="497" t="s">
        <v>1192</v>
      </c>
      <c r="E780" s="466"/>
    </row>
    <row r="781" spans="1:5" ht="15" customHeight="1">
      <c r="A781" s="465"/>
      <c r="B781" s="465"/>
      <c r="C781" s="509">
        <v>3111000</v>
      </c>
      <c r="D781" s="496" t="s">
        <v>1193</v>
      </c>
      <c r="E781" s="466">
        <f>E782+E783</f>
        <v>0</v>
      </c>
    </row>
    <row r="782" spans="1:5" ht="15" customHeight="1">
      <c r="A782" s="465"/>
      <c r="B782" s="465"/>
      <c r="C782" s="510">
        <v>3111101</v>
      </c>
      <c r="D782" s="497" t="s">
        <v>1194</v>
      </c>
      <c r="E782" s="466">
        <v>0</v>
      </c>
    </row>
    <row r="783" spans="1:5" ht="15" customHeight="1">
      <c r="A783" s="465"/>
      <c r="B783" s="465"/>
      <c r="C783" s="510">
        <v>3111002</v>
      </c>
      <c r="D783" s="497" t="s">
        <v>1195</v>
      </c>
      <c r="E783" s="466">
        <v>0</v>
      </c>
    </row>
    <row r="784" spans="1:5" ht="15" customHeight="1">
      <c r="A784" s="465"/>
      <c r="B784" s="465"/>
      <c r="C784" s="510">
        <v>3111305</v>
      </c>
      <c r="D784" s="497" t="s">
        <v>1114</v>
      </c>
      <c r="E784" s="466"/>
    </row>
    <row r="785" spans="1:5" ht="15" customHeight="1">
      <c r="A785" s="465"/>
      <c r="B785" s="465"/>
      <c r="C785" s="509">
        <v>3111400</v>
      </c>
      <c r="D785" s="496" t="s">
        <v>1119</v>
      </c>
      <c r="E785" s="466"/>
    </row>
    <row r="786" spans="1:5" ht="15" customHeight="1">
      <c r="A786" s="465"/>
      <c r="B786" s="465"/>
      <c r="C786" s="510">
        <v>3111401</v>
      </c>
      <c r="D786" s="497" t="s">
        <v>1115</v>
      </c>
      <c r="E786" s="466"/>
    </row>
    <row r="787" spans="1:5" ht="15" customHeight="1">
      <c r="A787" s="465"/>
      <c r="B787" s="465"/>
      <c r="C787" s="1393" t="s">
        <v>1248</v>
      </c>
      <c r="D787" s="1363"/>
      <c r="E787" s="480">
        <f>SUM(E775,E769,E767,E761,E758,E754,E745,E742,E734,E729,E725,E722,E718,E717,E716)</f>
        <v>980551836.9200001</v>
      </c>
    </row>
    <row r="788" spans="1:13" ht="15" customHeight="1">
      <c r="A788" s="465"/>
      <c r="B788" s="465"/>
      <c r="C788" s="477"/>
      <c r="D788" s="465" t="s">
        <v>1196</v>
      </c>
      <c r="E788" s="461">
        <v>0</v>
      </c>
      <c r="M788" s="616">
        <v>25096698</v>
      </c>
    </row>
    <row r="789" spans="1:9" ht="15" customHeight="1">
      <c r="A789" s="465"/>
      <c r="B789" s="465"/>
      <c r="C789" s="477"/>
      <c r="D789" s="465" t="s">
        <v>1197</v>
      </c>
      <c r="E789" s="461">
        <v>6643714</v>
      </c>
      <c r="I789" s="616">
        <v>6872636</v>
      </c>
    </row>
    <row r="790" spans="1:8" ht="15" customHeight="1">
      <c r="A790" s="465"/>
      <c r="B790" s="465"/>
      <c r="C790" s="477"/>
      <c r="D790" s="498" t="s">
        <v>2224</v>
      </c>
      <c r="E790" s="461">
        <v>23934392</v>
      </c>
      <c r="H790" s="616">
        <v>7675000</v>
      </c>
    </row>
    <row r="791" spans="1:6" ht="15" customHeight="1">
      <c r="A791" s="465"/>
      <c r="B791" s="465"/>
      <c r="C791" s="477"/>
      <c r="D791" s="465" t="s">
        <v>1199</v>
      </c>
      <c r="E791" s="491">
        <v>36800000</v>
      </c>
      <c r="F791" s="616">
        <v>34627134</v>
      </c>
    </row>
    <row r="792" spans="1:5" ht="15" customHeight="1">
      <c r="A792" s="465"/>
      <c r="B792" s="520"/>
      <c r="C792" s="1362" t="s">
        <v>1249</v>
      </c>
      <c r="D792" s="1363"/>
      <c r="E792" s="480">
        <f>SUM(E788:E791)</f>
        <v>67378106</v>
      </c>
    </row>
    <row r="793" spans="1:15" ht="15" customHeight="1">
      <c r="A793" s="465"/>
      <c r="B793" s="1375" t="s">
        <v>1144</v>
      </c>
      <c r="C793" s="1376"/>
      <c r="D793" s="1377"/>
      <c r="E793" s="519">
        <f>E787+E792</f>
        <v>1047929942.9200001</v>
      </c>
      <c r="F793" s="626">
        <f>SUM(F716:F792)</f>
        <v>739051566</v>
      </c>
      <c r="G793" s="626">
        <f aca="true" t="shared" si="2" ref="G793:M793">SUM(G716:G792)</f>
        <v>0</v>
      </c>
      <c r="H793" s="626">
        <f t="shared" si="2"/>
        <v>7675000</v>
      </c>
      <c r="I793" s="626">
        <f t="shared" si="2"/>
        <v>6872636</v>
      </c>
      <c r="J793" s="626">
        <f t="shared" si="2"/>
        <v>10000000</v>
      </c>
      <c r="K793" s="626">
        <f t="shared" si="2"/>
        <v>5100000</v>
      </c>
      <c r="L793" s="626">
        <f t="shared" si="2"/>
        <v>112400000</v>
      </c>
      <c r="M793" s="626">
        <f t="shared" si="2"/>
        <v>25096698</v>
      </c>
      <c r="O793" s="938">
        <f>E793-E716-E745-E792</f>
        <v>71750000</v>
      </c>
    </row>
    <row r="794" spans="1:5" ht="15" customHeight="1">
      <c r="A794" s="1378"/>
      <c r="B794" s="1379"/>
      <c r="C794" s="1379"/>
      <c r="D794" s="1379"/>
      <c r="E794" s="1380"/>
    </row>
    <row r="795" spans="1:5" ht="15" customHeight="1">
      <c r="A795" s="1390"/>
      <c r="B795" s="1391"/>
      <c r="C795" s="1391"/>
      <c r="D795" s="1391"/>
      <c r="E795" s="1392"/>
    </row>
    <row r="796" spans="1:5" ht="15" customHeight="1">
      <c r="A796" s="1356" t="s">
        <v>1120</v>
      </c>
      <c r="B796" s="1357"/>
      <c r="C796" s="1357"/>
      <c r="D796" s="1357"/>
      <c r="E796" s="1357"/>
    </row>
    <row r="797" spans="1:5" ht="15" customHeight="1">
      <c r="A797" s="1353" t="s">
        <v>1431</v>
      </c>
      <c r="B797" s="1354"/>
      <c r="C797" s="1354"/>
      <c r="D797" s="1354"/>
      <c r="E797" s="1354"/>
    </row>
    <row r="798" spans="1:5" ht="15" customHeight="1">
      <c r="A798" s="1358" t="s">
        <v>1247</v>
      </c>
      <c r="B798" s="1359"/>
      <c r="C798" s="1359"/>
      <c r="D798" s="1359"/>
      <c r="E798" s="1359"/>
    </row>
    <row r="799" spans="1:11" ht="40.5" customHeight="1">
      <c r="A799" s="1347" t="s">
        <v>1122</v>
      </c>
      <c r="B799" s="1345"/>
      <c r="C799" s="478" t="s">
        <v>998</v>
      </c>
      <c r="D799" s="486" t="s">
        <v>997</v>
      </c>
      <c r="E799" s="515" t="s">
        <v>1432</v>
      </c>
      <c r="F799" s="627" t="s">
        <v>1376</v>
      </c>
      <c r="G799" s="627" t="s">
        <v>1377</v>
      </c>
      <c r="H799" s="627" t="s">
        <v>1378</v>
      </c>
      <c r="I799" s="627" t="s">
        <v>1379</v>
      </c>
      <c r="J799" s="627" t="s">
        <v>1380</v>
      </c>
      <c r="K799" s="627" t="s">
        <v>1381</v>
      </c>
    </row>
    <row r="800" spans="1:5" ht="15" customHeight="1">
      <c r="A800" s="1347"/>
      <c r="B800" s="1345"/>
      <c r="C800" s="478"/>
      <c r="D800" s="486"/>
      <c r="E800" s="499"/>
    </row>
    <row r="801" spans="1:5" ht="15" customHeight="1">
      <c r="A801" s="467"/>
      <c r="B801" s="467" t="s">
        <v>1123</v>
      </c>
      <c r="C801" s="478">
        <v>2110100</v>
      </c>
      <c r="D801" s="479" t="s">
        <v>999</v>
      </c>
      <c r="E801" s="482">
        <f>E803+E802</f>
        <v>126463229.77120006</v>
      </c>
    </row>
    <row r="802" spans="1:6" ht="15" customHeight="1">
      <c r="A802" s="465"/>
      <c r="B802" s="465"/>
      <c r="C802" s="510">
        <v>2110101</v>
      </c>
      <c r="D802" s="465" t="s">
        <v>1145</v>
      </c>
      <c r="E802" s="483">
        <f>('[4]Admin'!$C$4)*1.06-35000000+14929956</f>
        <v>126463229.77120006</v>
      </c>
      <c r="F802" s="616">
        <v>138238938</v>
      </c>
    </row>
    <row r="803" spans="1:5" ht="15" customHeight="1">
      <c r="A803" s="465"/>
      <c r="B803" s="465"/>
      <c r="C803" s="478">
        <v>2110300</v>
      </c>
      <c r="D803" s="479" t="s">
        <v>1003</v>
      </c>
      <c r="E803" s="482">
        <f>E804+E805+E806+E807</f>
        <v>0</v>
      </c>
    </row>
    <row r="804" spans="1:5" ht="15" customHeight="1">
      <c r="A804" s="465"/>
      <c r="B804" s="465"/>
      <c r="C804" s="477">
        <v>2110301</v>
      </c>
      <c r="D804" s="465" t="s">
        <v>1004</v>
      </c>
      <c r="E804" s="483">
        <v>0</v>
      </c>
    </row>
    <row r="805" spans="1:5" ht="15" customHeight="1">
      <c r="A805" s="465"/>
      <c r="B805" s="465"/>
      <c r="C805" s="477">
        <v>2110314</v>
      </c>
      <c r="D805" s="465" t="s">
        <v>1149</v>
      </c>
      <c r="E805" s="483">
        <v>0</v>
      </c>
    </row>
    <row r="806" spans="1:5" ht="15" customHeight="1">
      <c r="A806" s="465"/>
      <c r="B806" s="465"/>
      <c r="C806" s="477">
        <v>2110307</v>
      </c>
      <c r="D806" s="465" t="s">
        <v>1124</v>
      </c>
      <c r="E806" s="483">
        <v>0</v>
      </c>
    </row>
    <row r="807" spans="1:5" ht="15" customHeight="1">
      <c r="A807" s="465"/>
      <c r="B807" s="465"/>
      <c r="C807" s="477">
        <v>2110320</v>
      </c>
      <c r="D807" s="465" t="s">
        <v>1200</v>
      </c>
      <c r="E807" s="483">
        <v>0</v>
      </c>
    </row>
    <row r="808" spans="1:5" ht="15" customHeight="1">
      <c r="A808" s="465"/>
      <c r="B808" s="465"/>
      <c r="C808" s="478">
        <v>2120100</v>
      </c>
      <c r="D808" s="479" t="s">
        <v>1012</v>
      </c>
      <c r="E808" s="483">
        <v>0</v>
      </c>
    </row>
    <row r="809" spans="1:5" ht="15" customHeight="1">
      <c r="A809" s="465"/>
      <c r="B809" s="465"/>
      <c r="C809" s="477">
        <v>2120101</v>
      </c>
      <c r="D809" s="465" t="s">
        <v>1013</v>
      </c>
      <c r="E809" s="483">
        <v>0</v>
      </c>
    </row>
    <row r="810" spans="1:5" ht="15" customHeight="1">
      <c r="A810" s="465"/>
      <c r="B810" s="465"/>
      <c r="C810" s="477">
        <v>2120102</v>
      </c>
      <c r="D810" s="465" t="s">
        <v>1125</v>
      </c>
      <c r="E810" s="483">
        <v>0</v>
      </c>
    </row>
    <row r="811" spans="1:5" ht="15" customHeight="1">
      <c r="A811" s="465"/>
      <c r="B811" s="465"/>
      <c r="C811" s="477">
        <v>2120103</v>
      </c>
      <c r="D811" s="465" t="s">
        <v>1126</v>
      </c>
      <c r="E811" s="483">
        <v>0</v>
      </c>
    </row>
    <row r="812" spans="1:5" ht="15" customHeight="1">
      <c r="A812" s="465"/>
      <c r="B812" s="465"/>
      <c r="C812" s="460">
        <v>2210100</v>
      </c>
      <c r="D812" s="486" t="s">
        <v>1015</v>
      </c>
      <c r="E812" s="484">
        <f>SUM(E813:E814)</f>
        <v>2000000</v>
      </c>
    </row>
    <row r="813" spans="1:6" ht="15" customHeight="1">
      <c r="A813" s="465"/>
      <c r="B813" s="465"/>
      <c r="C813" s="459">
        <v>2210101</v>
      </c>
      <c r="D813" s="487" t="s">
        <v>1016</v>
      </c>
      <c r="E813" s="500">
        <v>1000000</v>
      </c>
      <c r="F813" s="616">
        <v>1000000</v>
      </c>
    </row>
    <row r="814" spans="1:6" ht="15" customHeight="1">
      <c r="A814" s="465"/>
      <c r="B814" s="465"/>
      <c r="C814" s="459">
        <v>2210102</v>
      </c>
      <c r="D814" s="487" t="s">
        <v>1017</v>
      </c>
      <c r="E814" s="500">
        <v>1000000</v>
      </c>
      <c r="F814" s="616">
        <v>1000000</v>
      </c>
    </row>
    <row r="815" spans="1:5" ht="15" customHeight="1">
      <c r="A815" s="465"/>
      <c r="B815" s="465"/>
      <c r="C815" s="460">
        <v>2210200</v>
      </c>
      <c r="D815" s="486" t="s">
        <v>1019</v>
      </c>
      <c r="E815" s="484">
        <f>SUM(E816:E817)</f>
        <v>2500000</v>
      </c>
    </row>
    <row r="816" spans="1:6" ht="15" customHeight="1">
      <c r="A816" s="465"/>
      <c r="B816" s="465"/>
      <c r="C816" s="459">
        <v>2210201</v>
      </c>
      <c r="D816" s="487" t="s">
        <v>1020</v>
      </c>
      <c r="E816" s="500">
        <v>1500000</v>
      </c>
      <c r="F816" s="616">
        <v>1500000</v>
      </c>
    </row>
    <row r="817" spans="1:6" ht="15" customHeight="1">
      <c r="A817" s="465"/>
      <c r="B817" s="465"/>
      <c r="C817" s="459">
        <v>2210202</v>
      </c>
      <c r="D817" s="487" t="s">
        <v>1021</v>
      </c>
      <c r="E817" s="500">
        <v>1000000</v>
      </c>
      <c r="F817" s="616">
        <v>1000000</v>
      </c>
    </row>
    <row r="818" spans="1:5" ht="15" customHeight="1">
      <c r="A818" s="465"/>
      <c r="B818" s="465"/>
      <c r="C818" s="460">
        <v>2210300</v>
      </c>
      <c r="D818" s="486" t="s">
        <v>1023</v>
      </c>
      <c r="E818" s="484">
        <f>SUM(E819:E821)</f>
        <v>8000000</v>
      </c>
    </row>
    <row r="819" spans="1:6" ht="15" customHeight="1">
      <c r="A819" s="465"/>
      <c r="B819" s="465"/>
      <c r="C819" s="459">
        <v>2210301</v>
      </c>
      <c r="D819" s="487" t="s">
        <v>1024</v>
      </c>
      <c r="E819" s="500">
        <v>2500000</v>
      </c>
      <c r="F819" s="616">
        <v>4500000</v>
      </c>
    </row>
    <row r="820" spans="1:7" ht="15" customHeight="1">
      <c r="A820" s="465"/>
      <c r="B820" s="465"/>
      <c r="C820" s="459">
        <v>2210302</v>
      </c>
      <c r="D820" s="487" t="s">
        <v>1128</v>
      </c>
      <c r="E820" s="500">
        <v>2500000</v>
      </c>
      <c r="G820" s="616">
        <v>4500000</v>
      </c>
    </row>
    <row r="821" spans="1:7" ht="15" customHeight="1">
      <c r="A821" s="465"/>
      <c r="B821" s="465"/>
      <c r="C821" s="459">
        <v>2210303</v>
      </c>
      <c r="D821" s="487" t="s">
        <v>1129</v>
      </c>
      <c r="E821" s="500">
        <v>3000000</v>
      </c>
      <c r="G821" s="616">
        <v>4000000</v>
      </c>
    </row>
    <row r="822" spans="1:5" ht="15" customHeight="1">
      <c r="A822" s="465"/>
      <c r="B822" s="465"/>
      <c r="C822" s="460">
        <v>2210400</v>
      </c>
      <c r="D822" s="486" t="s">
        <v>1201</v>
      </c>
      <c r="E822" s="501">
        <f>SUM(E823:E826)</f>
        <v>0</v>
      </c>
    </row>
    <row r="823" spans="1:6" ht="15" customHeight="1">
      <c r="A823" s="465"/>
      <c r="B823" s="465"/>
      <c r="C823" s="459">
        <v>2210401</v>
      </c>
      <c r="D823" s="487" t="s">
        <v>1024</v>
      </c>
      <c r="E823" s="500">
        <v>0</v>
      </c>
      <c r="F823" s="616">
        <v>1000000</v>
      </c>
    </row>
    <row r="824" spans="1:6" ht="15" customHeight="1">
      <c r="A824" s="465"/>
      <c r="B824" s="465"/>
      <c r="C824" s="459">
        <v>2210402</v>
      </c>
      <c r="D824" s="487" t="s">
        <v>1128</v>
      </c>
      <c r="E824" s="500">
        <v>0</v>
      </c>
      <c r="F824" s="616">
        <v>500000</v>
      </c>
    </row>
    <row r="825" spans="1:5" ht="15" customHeight="1">
      <c r="A825" s="465"/>
      <c r="B825" s="465"/>
      <c r="C825" s="459">
        <v>2210403</v>
      </c>
      <c r="D825" s="487" t="s">
        <v>1129</v>
      </c>
      <c r="E825" s="500"/>
    </row>
    <row r="826" spans="1:5" ht="15" customHeight="1">
      <c r="A826" s="465"/>
      <c r="B826" s="465"/>
      <c r="C826" s="459">
        <v>2210404</v>
      </c>
      <c r="D826" s="487" t="s">
        <v>1202</v>
      </c>
      <c r="E826" s="500"/>
    </row>
    <row r="827" spans="1:5" ht="15" customHeight="1">
      <c r="A827" s="465"/>
      <c r="B827" s="465"/>
      <c r="C827" s="460">
        <v>2210500</v>
      </c>
      <c r="D827" s="486" t="s">
        <v>1029</v>
      </c>
      <c r="E827" s="484">
        <f>SUM(E828:E831)</f>
        <v>7500000</v>
      </c>
    </row>
    <row r="828" spans="1:7" ht="15" customHeight="1">
      <c r="A828" s="465"/>
      <c r="B828" s="465"/>
      <c r="C828" s="459">
        <v>2210502</v>
      </c>
      <c r="D828" s="487" t="s">
        <v>1030</v>
      </c>
      <c r="E828" s="500">
        <v>2000000</v>
      </c>
      <c r="F828" s="616">
        <v>1000000</v>
      </c>
      <c r="G828" s="616">
        <v>1000000</v>
      </c>
    </row>
    <row r="829" spans="1:7" ht="15" customHeight="1">
      <c r="A829" s="465"/>
      <c r="B829" s="465"/>
      <c r="C829" s="459">
        <v>2210503</v>
      </c>
      <c r="D829" s="487" t="s">
        <v>1031</v>
      </c>
      <c r="E829" s="500">
        <v>500000</v>
      </c>
      <c r="F829" s="616">
        <v>250000</v>
      </c>
      <c r="G829" s="616">
        <v>250000</v>
      </c>
    </row>
    <row r="830" spans="1:11" ht="15" customHeight="1">
      <c r="A830" s="465"/>
      <c r="B830" s="465"/>
      <c r="C830" s="459">
        <v>2210504</v>
      </c>
      <c r="D830" s="487" t="s">
        <v>1943</v>
      </c>
      <c r="E830" s="500">
        <v>5000000</v>
      </c>
      <c r="K830" s="616">
        <v>6000000</v>
      </c>
    </row>
    <row r="831" spans="1:5" ht="15" customHeight="1">
      <c r="A831" s="465"/>
      <c r="B831" s="465"/>
      <c r="C831" s="459">
        <v>2210599</v>
      </c>
      <c r="D831" s="487" t="s">
        <v>1203</v>
      </c>
      <c r="E831" s="500">
        <v>0</v>
      </c>
    </row>
    <row r="832" spans="1:5" ht="15" customHeight="1">
      <c r="A832" s="465"/>
      <c r="B832" s="465"/>
      <c r="C832" s="460">
        <v>2210600</v>
      </c>
      <c r="D832" s="486" t="s">
        <v>1153</v>
      </c>
      <c r="E832" s="484">
        <f>SUM(E833:E835)</f>
        <v>0</v>
      </c>
    </row>
    <row r="833" spans="1:5" ht="15" customHeight="1">
      <c r="A833" s="465"/>
      <c r="B833" s="465"/>
      <c r="C833" s="459">
        <v>2210602</v>
      </c>
      <c r="D833" s="487" t="s">
        <v>1204</v>
      </c>
      <c r="E833" s="484"/>
    </row>
    <row r="834" spans="1:5" ht="15" customHeight="1">
      <c r="A834" s="465"/>
      <c r="B834" s="465"/>
      <c r="C834" s="459">
        <v>2210603</v>
      </c>
      <c r="D834" s="487" t="s">
        <v>1037</v>
      </c>
      <c r="E834" s="500">
        <v>0</v>
      </c>
    </row>
    <row r="835" spans="1:5" ht="15" customHeight="1">
      <c r="A835" s="465"/>
      <c r="B835" s="465"/>
      <c r="C835" s="459">
        <v>2210604</v>
      </c>
      <c r="D835" s="487" t="s">
        <v>1038</v>
      </c>
      <c r="E835" s="500">
        <v>0</v>
      </c>
    </row>
    <row r="836" spans="1:5" ht="15" customHeight="1">
      <c r="A836" s="465"/>
      <c r="B836" s="465"/>
      <c r="C836" s="460">
        <v>2210700</v>
      </c>
      <c r="D836" s="486" t="s">
        <v>1039</v>
      </c>
      <c r="E836" s="484">
        <f>SUM(E837:E845)</f>
        <v>2000000</v>
      </c>
    </row>
    <row r="837" spans="1:5" ht="15" customHeight="1">
      <c r="A837" s="465"/>
      <c r="B837" s="465"/>
      <c r="C837" s="459">
        <v>2210701</v>
      </c>
      <c r="D837" s="487" t="s">
        <v>1205</v>
      </c>
      <c r="E837" s="500"/>
    </row>
    <row r="838" spans="1:5" ht="15" customHeight="1">
      <c r="A838" s="465"/>
      <c r="B838" s="465"/>
      <c r="C838" s="459">
        <v>2210702</v>
      </c>
      <c r="D838" s="487" t="s">
        <v>1206</v>
      </c>
      <c r="E838" s="500"/>
    </row>
    <row r="839" spans="1:5" ht="15" customHeight="1">
      <c r="A839" s="465"/>
      <c r="B839" s="465"/>
      <c r="C839" s="459">
        <v>2210703</v>
      </c>
      <c r="D839" s="487" t="s">
        <v>1207</v>
      </c>
      <c r="E839" s="500"/>
    </row>
    <row r="840" spans="1:5" ht="15" customHeight="1">
      <c r="A840" s="465"/>
      <c r="B840" s="465"/>
      <c r="C840" s="459">
        <v>2210704</v>
      </c>
      <c r="D840" s="487" t="s">
        <v>1208</v>
      </c>
      <c r="E840" s="500"/>
    </row>
    <row r="841" spans="1:5" ht="15" customHeight="1">
      <c r="A841" s="465"/>
      <c r="B841" s="465"/>
      <c r="C841" s="459">
        <v>2210710</v>
      </c>
      <c r="D841" s="487" t="s">
        <v>1209</v>
      </c>
      <c r="E841" s="500"/>
    </row>
    <row r="842" spans="1:5" ht="15" customHeight="1">
      <c r="A842" s="465"/>
      <c r="B842" s="465"/>
      <c r="C842" s="459">
        <v>2210711</v>
      </c>
      <c r="D842" s="487" t="s">
        <v>1210</v>
      </c>
      <c r="E842" s="500"/>
    </row>
    <row r="843" spans="1:5" ht="15" customHeight="1">
      <c r="A843" s="465"/>
      <c r="B843" s="465"/>
      <c r="C843" s="459">
        <v>2210713</v>
      </c>
      <c r="D843" s="487" t="s">
        <v>1211</v>
      </c>
      <c r="E843" s="500"/>
    </row>
    <row r="844" spans="1:5" ht="15" customHeight="1">
      <c r="A844" s="465"/>
      <c r="B844" s="465"/>
      <c r="C844" s="459">
        <v>2210716</v>
      </c>
      <c r="D844" s="487" t="s">
        <v>1212</v>
      </c>
      <c r="E844" s="500"/>
    </row>
    <row r="845" spans="1:6" ht="15" customHeight="1">
      <c r="A845" s="465"/>
      <c r="B845" s="465"/>
      <c r="C845" s="459">
        <v>2210799</v>
      </c>
      <c r="D845" s="487" t="s">
        <v>1039</v>
      </c>
      <c r="E845" s="500">
        <v>2000000</v>
      </c>
      <c r="F845" s="616">
        <v>3000000</v>
      </c>
    </row>
    <row r="846" spans="1:5" ht="15" customHeight="1">
      <c r="A846" s="465"/>
      <c r="B846" s="465"/>
      <c r="C846" s="460">
        <v>2210800</v>
      </c>
      <c r="D846" s="486" t="s">
        <v>1049</v>
      </c>
      <c r="E846" s="484">
        <f>SUM(E847:E848)</f>
        <v>5500000</v>
      </c>
    </row>
    <row r="847" spans="1:6" ht="15" customHeight="1">
      <c r="A847" s="465"/>
      <c r="B847" s="465"/>
      <c r="C847" s="459">
        <v>2210801</v>
      </c>
      <c r="D847" s="487" t="s">
        <v>1158</v>
      </c>
      <c r="E847" s="500">
        <v>2000000</v>
      </c>
      <c r="F847" s="616">
        <v>2000000</v>
      </c>
    </row>
    <row r="848" spans="1:6" ht="15" customHeight="1">
      <c r="A848" s="465"/>
      <c r="B848" s="465"/>
      <c r="C848" s="459">
        <v>2210802</v>
      </c>
      <c r="D848" s="487" t="s">
        <v>1131</v>
      </c>
      <c r="E848" s="500">
        <v>3500000</v>
      </c>
      <c r="F848" s="616">
        <v>9200000</v>
      </c>
    </row>
    <row r="849" spans="1:5" ht="15" customHeight="1">
      <c r="A849" s="465"/>
      <c r="B849" s="465"/>
      <c r="C849" s="460">
        <v>2210900</v>
      </c>
      <c r="D849" s="486" t="s">
        <v>1052</v>
      </c>
      <c r="E849" s="484">
        <f>SUM(E850:E851)</f>
        <v>50000000</v>
      </c>
    </row>
    <row r="850" spans="1:6" ht="15" customHeight="1">
      <c r="A850" s="465"/>
      <c r="B850" s="465"/>
      <c r="C850" s="459">
        <v>2210901</v>
      </c>
      <c r="D850" s="487" t="s">
        <v>1053</v>
      </c>
      <c r="E850" s="500">
        <v>0</v>
      </c>
      <c r="F850" s="616">
        <v>10000000</v>
      </c>
    </row>
    <row r="851" spans="1:6" ht="15" customHeight="1">
      <c r="A851" s="465"/>
      <c r="B851" s="465"/>
      <c r="C851" s="459">
        <v>2210910</v>
      </c>
      <c r="D851" s="487" t="s">
        <v>1056</v>
      </c>
      <c r="E851" s="500">
        <f>70000000-20000000</f>
        <v>50000000</v>
      </c>
      <c r="F851" s="616">
        <v>30000000</v>
      </c>
    </row>
    <row r="852" spans="1:5" ht="15" customHeight="1">
      <c r="A852" s="465"/>
      <c r="B852" s="465"/>
      <c r="C852" s="460">
        <v>2211000</v>
      </c>
      <c r="D852" s="486" t="s">
        <v>1160</v>
      </c>
      <c r="E852" s="484">
        <f>SUM(E853:E861)</f>
        <v>1400000</v>
      </c>
    </row>
    <row r="853" spans="1:5" ht="15" customHeight="1">
      <c r="A853" s="465"/>
      <c r="B853" s="465"/>
      <c r="C853" s="459">
        <v>2211001</v>
      </c>
      <c r="D853" s="487" t="s">
        <v>1213</v>
      </c>
      <c r="E853" s="484"/>
    </row>
    <row r="854" spans="1:5" ht="15" customHeight="1">
      <c r="A854" s="465"/>
      <c r="B854" s="465"/>
      <c r="C854" s="459">
        <v>2211003</v>
      </c>
      <c r="D854" s="487" t="s">
        <v>1214</v>
      </c>
      <c r="E854" s="484"/>
    </row>
    <row r="855" spans="1:5" ht="15" customHeight="1">
      <c r="A855" s="465"/>
      <c r="B855" s="465"/>
      <c r="C855" s="459">
        <v>2211004</v>
      </c>
      <c r="D855" s="487" t="s">
        <v>1215</v>
      </c>
      <c r="E855" s="484"/>
    </row>
    <row r="856" spans="1:6" ht="15" customHeight="1">
      <c r="A856" s="465"/>
      <c r="B856" s="465"/>
      <c r="C856" s="459">
        <v>2211006</v>
      </c>
      <c r="D856" s="487" t="s">
        <v>1061</v>
      </c>
      <c r="E856" s="500">
        <v>200000</v>
      </c>
      <c r="F856" s="616">
        <v>200000</v>
      </c>
    </row>
    <row r="857" spans="1:5" ht="15" customHeight="1">
      <c r="A857" s="465"/>
      <c r="B857" s="465"/>
      <c r="C857" s="459">
        <v>2211007</v>
      </c>
      <c r="D857" s="487" t="s">
        <v>1216</v>
      </c>
      <c r="E857" s="500"/>
    </row>
    <row r="858" spans="1:5" ht="15" customHeight="1">
      <c r="A858" s="465"/>
      <c r="B858" s="465"/>
      <c r="C858" s="459">
        <v>2211015</v>
      </c>
      <c r="D858" s="487" t="s">
        <v>1217</v>
      </c>
      <c r="E858" s="500"/>
    </row>
    <row r="859" spans="1:6" ht="15" customHeight="1">
      <c r="A859" s="465"/>
      <c r="B859" s="465"/>
      <c r="C859" s="459">
        <v>2211016</v>
      </c>
      <c r="D859" s="487" t="s">
        <v>1218</v>
      </c>
      <c r="E859" s="500">
        <v>1200000</v>
      </c>
      <c r="F859" s="616">
        <v>1200000</v>
      </c>
    </row>
    <row r="860" spans="1:5" ht="15" customHeight="1">
      <c r="A860" s="465"/>
      <c r="B860" s="465"/>
      <c r="C860" s="459">
        <v>2211023</v>
      </c>
      <c r="D860" s="487" t="s">
        <v>1219</v>
      </c>
      <c r="E860" s="500"/>
    </row>
    <row r="861" spans="1:5" ht="15" customHeight="1">
      <c r="A861" s="465"/>
      <c r="B861" s="465"/>
      <c r="C861" s="459">
        <v>2211026</v>
      </c>
      <c r="D861" s="487" t="s">
        <v>1220</v>
      </c>
      <c r="E861" s="500"/>
    </row>
    <row r="862" spans="1:5" ht="15" customHeight="1">
      <c r="A862" s="465"/>
      <c r="B862" s="465"/>
      <c r="C862" s="460">
        <v>2211100</v>
      </c>
      <c r="D862" s="486" t="s">
        <v>1067</v>
      </c>
      <c r="E862" s="484">
        <f>SUM(E863:E865)</f>
        <v>4500000</v>
      </c>
    </row>
    <row r="863" spans="1:7" ht="15" customHeight="1">
      <c r="A863" s="465"/>
      <c r="B863" s="465"/>
      <c r="C863" s="459">
        <v>2211101</v>
      </c>
      <c r="D863" s="487" t="s">
        <v>1135</v>
      </c>
      <c r="E863" s="502">
        <v>2500000</v>
      </c>
      <c r="F863" s="616">
        <v>1000000</v>
      </c>
      <c r="G863" s="616">
        <v>1500000</v>
      </c>
    </row>
    <row r="864" spans="1:5" ht="15" customHeight="1">
      <c r="A864" s="465"/>
      <c r="B864" s="465"/>
      <c r="C864" s="459">
        <v>2211102</v>
      </c>
      <c r="D864" s="487" t="s">
        <v>1069</v>
      </c>
      <c r="E864" s="502">
        <v>0</v>
      </c>
    </row>
    <row r="865" spans="1:7" ht="15" customHeight="1">
      <c r="A865" s="465"/>
      <c r="B865" s="465"/>
      <c r="C865" s="459">
        <v>2211103</v>
      </c>
      <c r="D865" s="487" t="s">
        <v>1070</v>
      </c>
      <c r="E865" s="500">
        <v>2000000</v>
      </c>
      <c r="F865" s="616">
        <v>1000000</v>
      </c>
      <c r="G865" s="616">
        <v>1000000</v>
      </c>
    </row>
    <row r="866" spans="1:5" ht="15" customHeight="1">
      <c r="A866" s="465"/>
      <c r="B866" s="465"/>
      <c r="C866" s="460">
        <v>2211200</v>
      </c>
      <c r="D866" s="486" t="s">
        <v>1071</v>
      </c>
      <c r="E866" s="484">
        <f>SUM(E867:E868)</f>
        <v>8000000</v>
      </c>
    </row>
    <row r="867" spans="1:7" ht="15" customHeight="1">
      <c r="A867" s="465"/>
      <c r="B867" s="465"/>
      <c r="C867" s="459">
        <v>2211201</v>
      </c>
      <c r="D867" s="487" t="s">
        <v>1072</v>
      </c>
      <c r="E867" s="500">
        <v>8000000</v>
      </c>
      <c r="F867" s="616">
        <v>5000000</v>
      </c>
      <c r="G867" s="616">
        <v>5000000</v>
      </c>
    </row>
    <row r="868" spans="1:5" ht="15" customHeight="1">
      <c r="A868" s="465"/>
      <c r="B868" s="465"/>
      <c r="C868" s="459">
        <v>2211201</v>
      </c>
      <c r="D868" s="487" t="s">
        <v>1221</v>
      </c>
      <c r="E868" s="500">
        <v>0</v>
      </c>
    </row>
    <row r="869" spans="1:5" ht="15" customHeight="1">
      <c r="A869" s="465"/>
      <c r="B869" s="465"/>
      <c r="C869" s="460">
        <v>2211300</v>
      </c>
      <c r="D869" s="486" t="s">
        <v>1074</v>
      </c>
      <c r="E869" s="484">
        <f>SUM(E870:E879)</f>
        <v>30000000</v>
      </c>
    </row>
    <row r="870" spans="1:5" ht="15" customHeight="1">
      <c r="A870" s="465"/>
      <c r="B870" s="465"/>
      <c r="C870" s="477">
        <v>2211301</v>
      </c>
      <c r="D870" s="487" t="s">
        <v>1075</v>
      </c>
      <c r="E870" s="500">
        <v>0</v>
      </c>
    </row>
    <row r="871" spans="1:5" ht="15" customHeight="1">
      <c r="A871" s="465"/>
      <c r="B871" s="465"/>
      <c r="C871" s="477">
        <v>2211304</v>
      </c>
      <c r="D871" s="487" t="s">
        <v>1222</v>
      </c>
      <c r="E871" s="500"/>
    </row>
    <row r="872" spans="1:5" ht="15" customHeight="1">
      <c r="A872" s="465"/>
      <c r="B872" s="465"/>
      <c r="C872" s="477">
        <v>2211308</v>
      </c>
      <c r="D872" s="487" t="s">
        <v>1223</v>
      </c>
      <c r="E872" s="500"/>
    </row>
    <row r="873" spans="1:5" ht="15" customHeight="1">
      <c r="A873" s="465"/>
      <c r="B873" s="465"/>
      <c r="C873" s="477">
        <v>2211309</v>
      </c>
      <c r="D873" s="487" t="s">
        <v>1224</v>
      </c>
      <c r="E873" s="500"/>
    </row>
    <row r="874" spans="1:5" ht="15" customHeight="1">
      <c r="A874" s="465"/>
      <c r="B874" s="465"/>
      <c r="C874" s="477">
        <v>2211310</v>
      </c>
      <c r="D874" s="487" t="s">
        <v>1137</v>
      </c>
      <c r="E874" s="500"/>
    </row>
    <row r="875" spans="1:5" ht="15" customHeight="1">
      <c r="A875" s="465"/>
      <c r="B875" s="465"/>
      <c r="C875" s="477">
        <v>2211311</v>
      </c>
      <c r="D875" s="487" t="s">
        <v>1080</v>
      </c>
      <c r="E875" s="500"/>
    </row>
    <row r="876" spans="1:10" ht="15" customHeight="1">
      <c r="A876" s="465"/>
      <c r="B876" s="465"/>
      <c r="C876" s="477">
        <v>2211313</v>
      </c>
      <c r="D876" s="487" t="s">
        <v>2208</v>
      </c>
      <c r="E876" s="500">
        <f>20000000+10000000</f>
        <v>30000000</v>
      </c>
      <c r="H876" s="616">
        <v>5000000</v>
      </c>
      <c r="I876" s="616">
        <v>15000000</v>
      </c>
      <c r="J876" s="616">
        <v>5000000</v>
      </c>
    </row>
    <row r="877" spans="1:5" ht="15" customHeight="1">
      <c r="A877" s="465"/>
      <c r="B877" s="465"/>
      <c r="C877" s="477">
        <v>2211314</v>
      </c>
      <c r="D877" s="487" t="s">
        <v>1225</v>
      </c>
      <c r="E877" s="500"/>
    </row>
    <row r="878" spans="1:5" ht="15" customHeight="1">
      <c r="A878" s="465"/>
      <c r="B878" s="465"/>
      <c r="C878" s="477">
        <v>2211329</v>
      </c>
      <c r="D878" s="487" t="s">
        <v>1226</v>
      </c>
      <c r="E878" s="500"/>
    </row>
    <row r="879" spans="1:6" ht="15" customHeight="1">
      <c r="A879" s="465"/>
      <c r="B879" s="465"/>
      <c r="C879" s="477">
        <v>2211399</v>
      </c>
      <c r="D879" s="487" t="s">
        <v>1074</v>
      </c>
      <c r="E879" s="500">
        <v>0</v>
      </c>
      <c r="F879" s="616">
        <v>3000000</v>
      </c>
    </row>
    <row r="880" spans="1:5" ht="15" customHeight="1">
      <c r="A880" s="465"/>
      <c r="B880" s="465"/>
      <c r="C880" s="460">
        <v>2220100</v>
      </c>
      <c r="D880" s="486" t="s">
        <v>1086</v>
      </c>
      <c r="E880" s="484">
        <f>SUM(E881)</f>
        <v>8000000</v>
      </c>
    </row>
    <row r="881" spans="1:6" ht="15" customHeight="1">
      <c r="A881" s="465"/>
      <c r="B881" s="465"/>
      <c r="C881" s="459">
        <v>2220101</v>
      </c>
      <c r="D881" s="487" t="s">
        <v>1138</v>
      </c>
      <c r="E881" s="500">
        <v>8000000</v>
      </c>
      <c r="F881" s="616">
        <v>7000000</v>
      </c>
    </row>
    <row r="882" spans="1:5" ht="15" customHeight="1">
      <c r="A882" s="465"/>
      <c r="B882" s="465"/>
      <c r="C882" s="460">
        <v>2220200</v>
      </c>
      <c r="D882" s="486" t="s">
        <v>1088</v>
      </c>
      <c r="E882" s="484">
        <f>SUM(E883:E889)</f>
        <v>1800000</v>
      </c>
    </row>
    <row r="883" spans="1:6" ht="15" customHeight="1">
      <c r="A883" s="465"/>
      <c r="B883" s="465"/>
      <c r="C883" s="459">
        <v>2220201</v>
      </c>
      <c r="D883" s="487" t="s">
        <v>1089</v>
      </c>
      <c r="E883" s="500">
        <v>500000</v>
      </c>
      <c r="F883" s="616">
        <v>500000</v>
      </c>
    </row>
    <row r="884" spans="1:5" ht="15" customHeight="1">
      <c r="A884" s="465"/>
      <c r="B884" s="465"/>
      <c r="C884" s="459">
        <v>2220205</v>
      </c>
      <c r="D884" s="487" t="s">
        <v>1227</v>
      </c>
      <c r="E884" s="500"/>
    </row>
    <row r="885" spans="1:5" ht="15" customHeight="1">
      <c r="A885" s="465"/>
      <c r="B885" s="465"/>
      <c r="C885" s="459">
        <v>2220206</v>
      </c>
      <c r="D885" s="487" t="s">
        <v>1186</v>
      </c>
      <c r="E885" s="500"/>
    </row>
    <row r="886" spans="1:5" ht="15" customHeight="1">
      <c r="A886" s="465"/>
      <c r="B886" s="465"/>
      <c r="C886" s="459">
        <v>2220207</v>
      </c>
      <c r="D886" s="487" t="s">
        <v>1228</v>
      </c>
      <c r="E886" s="500"/>
    </row>
    <row r="887" spans="1:6" ht="15" customHeight="1">
      <c r="A887" s="465"/>
      <c r="B887" s="465"/>
      <c r="C887" s="459">
        <v>2220210</v>
      </c>
      <c r="D887" s="487" t="s">
        <v>1093</v>
      </c>
      <c r="E887" s="500">
        <v>1000000</v>
      </c>
      <c r="F887" s="616">
        <v>1000000</v>
      </c>
    </row>
    <row r="888" spans="1:6" ht="15" customHeight="1">
      <c r="A888" s="465"/>
      <c r="B888" s="465"/>
      <c r="C888" s="459">
        <v>2220204</v>
      </c>
      <c r="D888" s="487" t="s">
        <v>1094</v>
      </c>
      <c r="E888" s="500">
        <v>300000</v>
      </c>
      <c r="F888" s="616">
        <v>300000</v>
      </c>
    </row>
    <row r="889" spans="1:5" ht="15" customHeight="1">
      <c r="A889" s="465"/>
      <c r="B889" s="465"/>
      <c r="C889" s="459">
        <v>2220299</v>
      </c>
      <c r="D889" s="487" t="s">
        <v>1088</v>
      </c>
      <c r="E889" s="500">
        <v>0</v>
      </c>
    </row>
    <row r="890" spans="1:5" ht="15" customHeight="1">
      <c r="A890" s="465"/>
      <c r="B890" s="465"/>
      <c r="C890" s="460">
        <v>3110300</v>
      </c>
      <c r="D890" s="486" t="s">
        <v>1103</v>
      </c>
      <c r="E890" s="484">
        <f>SUM(E891)</f>
        <v>1000000</v>
      </c>
    </row>
    <row r="891" spans="1:6" ht="15" customHeight="1">
      <c r="A891" s="465"/>
      <c r="B891" s="465"/>
      <c r="C891" s="459">
        <v>3110302</v>
      </c>
      <c r="D891" s="487" t="s">
        <v>1105</v>
      </c>
      <c r="E891" s="500">
        <v>1000000</v>
      </c>
      <c r="F891" s="616">
        <v>1000000</v>
      </c>
    </row>
    <row r="892" spans="1:5" ht="15" customHeight="1">
      <c r="A892" s="465"/>
      <c r="B892" s="465"/>
      <c r="C892" s="460">
        <v>3110700</v>
      </c>
      <c r="D892" s="486" t="s">
        <v>1108</v>
      </c>
      <c r="E892" s="484">
        <f>SUM(E893)</f>
        <v>831000</v>
      </c>
    </row>
    <row r="893" spans="1:6" ht="15" customHeight="1">
      <c r="A893" s="465"/>
      <c r="B893" s="465"/>
      <c r="C893" s="459">
        <v>3110701</v>
      </c>
      <c r="D893" s="487" t="s">
        <v>1229</v>
      </c>
      <c r="E893" s="500">
        <v>831000</v>
      </c>
      <c r="F893" s="616">
        <v>7900000</v>
      </c>
    </row>
    <row r="894" spans="1:5" ht="15" customHeight="1">
      <c r="A894" s="465"/>
      <c r="B894" s="465"/>
      <c r="C894" s="460">
        <v>3111000</v>
      </c>
      <c r="D894" s="486" t="s">
        <v>1110</v>
      </c>
      <c r="E894" s="484">
        <f>SUM(E895:E896)</f>
        <v>0</v>
      </c>
    </row>
    <row r="895" spans="1:5" ht="15" customHeight="1">
      <c r="A895" s="465"/>
      <c r="B895" s="465"/>
      <c r="C895" s="459">
        <v>3111101</v>
      </c>
      <c r="D895" s="487" t="s">
        <v>1111</v>
      </c>
      <c r="E895" s="500">
        <v>0</v>
      </c>
    </row>
    <row r="896" spans="1:5" ht="15" customHeight="1">
      <c r="A896" s="465"/>
      <c r="B896" s="465"/>
      <c r="C896" s="459">
        <v>3111002</v>
      </c>
      <c r="D896" s="487" t="s">
        <v>1172</v>
      </c>
      <c r="E896" s="500">
        <v>0</v>
      </c>
    </row>
    <row r="897" spans="1:5" ht="15" customHeight="1">
      <c r="A897" s="465"/>
      <c r="B897" s="465"/>
      <c r="C897" s="460">
        <v>3111300</v>
      </c>
      <c r="D897" s="486" t="s">
        <v>1166</v>
      </c>
      <c r="E897" s="484">
        <f>SUM(E898)</f>
        <v>1000000</v>
      </c>
    </row>
    <row r="898" spans="1:6" ht="15" customHeight="1">
      <c r="A898" s="465"/>
      <c r="B898" s="465"/>
      <c r="C898" s="459">
        <v>3111305</v>
      </c>
      <c r="D898" s="487" t="s">
        <v>1114</v>
      </c>
      <c r="E898" s="500">
        <v>1000000</v>
      </c>
      <c r="F898" s="616">
        <v>1000000</v>
      </c>
    </row>
    <row r="899" spans="1:5" ht="15" customHeight="1">
      <c r="A899" s="465"/>
      <c r="B899" s="465"/>
      <c r="C899" s="460">
        <v>3111400</v>
      </c>
      <c r="D899" s="486" t="s">
        <v>1119</v>
      </c>
      <c r="E899" s="484">
        <f>SUM(E900)</f>
        <v>0</v>
      </c>
    </row>
    <row r="900" spans="1:6" ht="15" customHeight="1">
      <c r="A900" s="465"/>
      <c r="B900" s="465"/>
      <c r="C900" s="459">
        <v>3111401</v>
      </c>
      <c r="D900" s="487" t="s">
        <v>1115</v>
      </c>
      <c r="E900" s="500">
        <v>0</v>
      </c>
      <c r="F900" s="616">
        <v>1000000</v>
      </c>
    </row>
    <row r="901" spans="1:5" ht="15" customHeight="1">
      <c r="A901" s="465"/>
      <c r="B901" s="465"/>
      <c r="C901" s="460">
        <v>2710107</v>
      </c>
      <c r="D901" s="486" t="s">
        <v>1941</v>
      </c>
      <c r="E901" s="484">
        <v>100000000</v>
      </c>
    </row>
    <row r="902" spans="1:11" ht="15" customHeight="1">
      <c r="A902" s="465"/>
      <c r="B902" s="1375" t="s">
        <v>1144</v>
      </c>
      <c r="C902" s="1376"/>
      <c r="D902" s="1377"/>
      <c r="E902" s="518">
        <f>SUM(E899,E897,E894,E892,E890,E882,E880,E869,E866,E862,E852,E849,E846,E836,E832,E827,E822,E818,E815,E812,E801,E901)</f>
        <v>360494229.77120006</v>
      </c>
      <c r="F902" s="626">
        <f aca="true" t="shared" si="3" ref="F902:K902">SUM(F801:F900)</f>
        <v>235288938</v>
      </c>
      <c r="G902" s="626">
        <f t="shared" si="3"/>
        <v>17250000</v>
      </c>
      <c r="H902" s="626">
        <f t="shared" si="3"/>
        <v>5000000</v>
      </c>
      <c r="I902" s="626">
        <f t="shared" si="3"/>
        <v>15000000</v>
      </c>
      <c r="J902" s="626">
        <f t="shared" si="3"/>
        <v>5000000</v>
      </c>
      <c r="K902" s="626">
        <f t="shared" si="3"/>
        <v>6000000</v>
      </c>
    </row>
    <row r="903" spans="1:5" ht="15" customHeight="1">
      <c r="A903" s="1378"/>
      <c r="B903" s="1379"/>
      <c r="C903" s="1379"/>
      <c r="D903" s="1379"/>
      <c r="E903" s="1380"/>
    </row>
    <row r="904" spans="1:5" ht="15" customHeight="1">
      <c r="A904" s="1390"/>
      <c r="B904" s="1391"/>
      <c r="C904" s="1391"/>
      <c r="D904" s="1391"/>
      <c r="E904" s="1392"/>
    </row>
    <row r="905" spans="1:5" ht="15" customHeight="1">
      <c r="A905" s="1356" t="s">
        <v>1120</v>
      </c>
      <c r="B905" s="1357"/>
      <c r="C905" s="1357"/>
      <c r="D905" s="1357"/>
      <c r="E905" s="1357"/>
    </row>
    <row r="906" spans="1:5" ht="15" customHeight="1">
      <c r="A906" s="1353" t="s">
        <v>1431</v>
      </c>
      <c r="B906" s="1354"/>
      <c r="C906" s="1354"/>
      <c r="D906" s="1354"/>
      <c r="E906" s="1354"/>
    </row>
    <row r="907" spans="1:5" ht="15.75">
      <c r="A907" s="1358" t="s">
        <v>1246</v>
      </c>
      <c r="B907" s="1359"/>
      <c r="C907" s="1359"/>
      <c r="D907" s="1359"/>
      <c r="E907" s="1359"/>
    </row>
    <row r="908" spans="1:5" ht="15" customHeight="1">
      <c r="A908" s="1347" t="s">
        <v>1122</v>
      </c>
      <c r="B908" s="1345"/>
      <c r="C908" s="1346" t="s">
        <v>998</v>
      </c>
      <c r="D908" s="1347" t="s">
        <v>997</v>
      </c>
      <c r="E908" s="1355" t="s">
        <v>1432</v>
      </c>
    </row>
    <row r="909" spans="1:5" ht="15" customHeight="1">
      <c r="A909" s="1347"/>
      <c r="B909" s="1345"/>
      <c r="C909" s="1346"/>
      <c r="D909" s="1347"/>
      <c r="E909" s="1355"/>
    </row>
    <row r="910" spans="1:5" ht="15" customHeight="1">
      <c r="A910" s="467"/>
      <c r="B910" s="467" t="s">
        <v>1123</v>
      </c>
      <c r="C910" s="509"/>
      <c r="D910" s="468"/>
      <c r="E910" s="475"/>
    </row>
    <row r="911" spans="1:5" ht="15" customHeight="1">
      <c r="A911" s="470"/>
      <c r="B911" s="470"/>
      <c r="C911" s="509">
        <v>2110100</v>
      </c>
      <c r="D911" s="468" t="s">
        <v>999</v>
      </c>
      <c r="E911" s="471">
        <f>E912</f>
        <v>92441797.7264</v>
      </c>
    </row>
    <row r="912" spans="1:5" ht="15" customHeight="1">
      <c r="A912" s="470"/>
      <c r="B912" s="470"/>
      <c r="C912" s="510">
        <v>2110101</v>
      </c>
      <c r="D912" s="464" t="s">
        <v>1000</v>
      </c>
      <c r="E912" s="476">
        <f>('[1]Lands'!$E$60)*1.06+10913465</f>
        <v>92441797.7264</v>
      </c>
    </row>
    <row r="913" spans="1:5" ht="15" customHeight="1">
      <c r="A913" s="470"/>
      <c r="B913" s="470"/>
      <c r="C913" s="509">
        <v>2110200</v>
      </c>
      <c r="D913" s="468" t="s">
        <v>1001</v>
      </c>
      <c r="E913" s="471">
        <f>SUM(E914)</f>
        <v>0</v>
      </c>
    </row>
    <row r="914" spans="1:5" ht="15" customHeight="1">
      <c r="A914" s="470"/>
      <c r="B914" s="470"/>
      <c r="C914" s="510">
        <v>2110202</v>
      </c>
      <c r="D914" s="464" t="s">
        <v>1002</v>
      </c>
      <c r="E914" s="476">
        <v>0</v>
      </c>
    </row>
    <row r="915" spans="1:5" ht="15" customHeight="1">
      <c r="A915" s="470"/>
      <c r="B915" s="470"/>
      <c r="C915" s="509">
        <v>2110300</v>
      </c>
      <c r="D915" s="468" t="s">
        <v>1003</v>
      </c>
      <c r="E915" s="471">
        <f>SUM(E916:E923)</f>
        <v>0</v>
      </c>
    </row>
    <row r="916" spans="1:5" ht="15" customHeight="1">
      <c r="A916" s="470"/>
      <c r="B916" s="470"/>
      <c r="C916" s="510">
        <v>2110301</v>
      </c>
      <c r="D916" s="464" t="s">
        <v>1004</v>
      </c>
      <c r="E916" s="476">
        <v>0</v>
      </c>
    </row>
    <row r="917" spans="1:5" ht="15" customHeight="1">
      <c r="A917" s="470"/>
      <c r="B917" s="470"/>
      <c r="C917" s="510">
        <v>2110302</v>
      </c>
      <c r="D917" s="464" t="s">
        <v>1005</v>
      </c>
      <c r="E917" s="476"/>
    </row>
    <row r="918" spans="1:5" ht="15" customHeight="1">
      <c r="A918" s="470"/>
      <c r="B918" s="470"/>
      <c r="C918" s="510">
        <v>2110303</v>
      </c>
      <c r="D918" s="464" t="s">
        <v>1006</v>
      </c>
      <c r="E918" s="476"/>
    </row>
    <row r="919" spans="1:5" ht="15" customHeight="1">
      <c r="A919" s="470"/>
      <c r="B919" s="470"/>
      <c r="C919" s="510">
        <v>2110314</v>
      </c>
      <c r="D919" s="464" t="s">
        <v>1007</v>
      </c>
      <c r="E919" s="476">
        <v>0</v>
      </c>
    </row>
    <row r="920" spans="1:5" ht="15" customHeight="1">
      <c r="A920" s="470"/>
      <c r="B920" s="470"/>
      <c r="C920" s="510">
        <v>2110320</v>
      </c>
      <c r="D920" s="464" t="s">
        <v>1008</v>
      </c>
      <c r="E920" s="476"/>
    </row>
    <row r="921" spans="1:5" ht="15" customHeight="1">
      <c r="A921" s="470"/>
      <c r="B921" s="470"/>
      <c r="C921" s="510">
        <v>2110321</v>
      </c>
      <c r="D921" s="464" t="s">
        <v>1009</v>
      </c>
      <c r="E921" s="476"/>
    </row>
    <row r="922" spans="1:5" ht="15" customHeight="1">
      <c r="A922" s="470"/>
      <c r="B922" s="470"/>
      <c r="C922" s="510">
        <v>2110322</v>
      </c>
      <c r="D922" s="464" t="s">
        <v>1010</v>
      </c>
      <c r="E922" s="476"/>
    </row>
    <row r="923" spans="1:5" ht="15" customHeight="1">
      <c r="A923" s="470"/>
      <c r="B923" s="470"/>
      <c r="C923" s="510">
        <v>2110333</v>
      </c>
      <c r="D923" s="464" t="s">
        <v>1011</v>
      </c>
      <c r="E923" s="476"/>
    </row>
    <row r="924" spans="1:5" ht="15" customHeight="1">
      <c r="A924" s="470"/>
      <c r="B924" s="470"/>
      <c r="C924" s="509">
        <v>2120100</v>
      </c>
      <c r="D924" s="468" t="s">
        <v>1012</v>
      </c>
      <c r="E924" s="471">
        <f>SUM(E925:E927)</f>
        <v>0</v>
      </c>
    </row>
    <row r="925" spans="1:5" ht="15" customHeight="1">
      <c r="A925" s="470"/>
      <c r="B925" s="470"/>
      <c r="C925" s="510">
        <v>2120101</v>
      </c>
      <c r="D925" s="464" t="s">
        <v>1013</v>
      </c>
      <c r="E925" s="476">
        <v>0</v>
      </c>
    </row>
    <row r="926" spans="1:5" ht="15" customHeight="1">
      <c r="A926" s="470"/>
      <c r="B926" s="470"/>
      <c r="C926" s="510">
        <v>2120102</v>
      </c>
      <c r="D926" s="464" t="s">
        <v>1125</v>
      </c>
      <c r="E926" s="476">
        <v>0</v>
      </c>
    </row>
    <row r="927" spans="1:5" ht="15" customHeight="1">
      <c r="A927" s="470"/>
      <c r="B927" s="470"/>
      <c r="C927" s="510">
        <v>2120103</v>
      </c>
      <c r="D927" s="464" t="s">
        <v>1126</v>
      </c>
      <c r="E927" s="476">
        <v>0</v>
      </c>
    </row>
    <row r="928" spans="1:5" ht="15" customHeight="1">
      <c r="A928" s="470"/>
      <c r="B928" s="470"/>
      <c r="C928" s="509">
        <v>2210100</v>
      </c>
      <c r="D928" s="468" t="s">
        <v>1015</v>
      </c>
      <c r="E928" s="471">
        <f>SUM(E929:E931)</f>
        <v>5000000</v>
      </c>
    </row>
    <row r="929" spans="1:5" ht="15" customHeight="1">
      <c r="A929" s="470"/>
      <c r="B929" s="470"/>
      <c r="C929" s="510">
        <v>2210101</v>
      </c>
      <c r="D929" s="464" t="s">
        <v>1016</v>
      </c>
      <c r="E929" s="476">
        <v>4000000</v>
      </c>
    </row>
    <row r="930" spans="1:5" ht="15" customHeight="1">
      <c r="A930" s="470"/>
      <c r="B930" s="470"/>
      <c r="C930" s="510">
        <v>2210102</v>
      </c>
      <c r="D930" s="464" t="s">
        <v>1017</v>
      </c>
      <c r="E930" s="476">
        <v>1000000</v>
      </c>
    </row>
    <row r="931" spans="1:5" ht="15" customHeight="1">
      <c r="A931" s="470"/>
      <c r="B931" s="470"/>
      <c r="C931" s="510">
        <v>2210106</v>
      </c>
      <c r="D931" s="464" t="s">
        <v>1018</v>
      </c>
      <c r="E931" s="476">
        <v>0</v>
      </c>
    </row>
    <row r="932" spans="1:5" ht="15" customHeight="1">
      <c r="A932" s="470"/>
      <c r="B932" s="470"/>
      <c r="C932" s="509">
        <v>2210200</v>
      </c>
      <c r="D932" s="468" t="s">
        <v>1019</v>
      </c>
      <c r="E932" s="471">
        <f>SUM(E933:E935)</f>
        <v>1000000</v>
      </c>
    </row>
    <row r="933" spans="1:5" ht="15" customHeight="1">
      <c r="A933" s="470"/>
      <c r="B933" s="470"/>
      <c r="C933" s="510">
        <v>2210201</v>
      </c>
      <c r="D933" s="464" t="s">
        <v>1020</v>
      </c>
      <c r="E933" s="476">
        <v>600000</v>
      </c>
    </row>
    <row r="934" spans="1:5" ht="15" customHeight="1">
      <c r="A934" s="470"/>
      <c r="B934" s="470"/>
      <c r="C934" s="510">
        <v>2210202</v>
      </c>
      <c r="D934" s="464" t="s">
        <v>1021</v>
      </c>
      <c r="E934" s="476">
        <v>400000</v>
      </c>
    </row>
    <row r="935" spans="1:5" ht="15" customHeight="1">
      <c r="A935" s="470"/>
      <c r="B935" s="470"/>
      <c r="C935" s="510">
        <v>2210206</v>
      </c>
      <c r="D935" s="464" t="s">
        <v>1022</v>
      </c>
      <c r="E935" s="471"/>
    </row>
    <row r="936" spans="1:5" ht="15" customHeight="1">
      <c r="A936" s="470"/>
      <c r="B936" s="470"/>
      <c r="C936" s="509">
        <v>2210300</v>
      </c>
      <c r="D936" s="468" t="s">
        <v>1023</v>
      </c>
      <c r="E936" s="471">
        <f>SUM(E937:E939)</f>
        <v>4500000</v>
      </c>
    </row>
    <row r="937" spans="1:5" ht="15" customHeight="1">
      <c r="A937" s="470"/>
      <c r="B937" s="470"/>
      <c r="C937" s="510">
        <v>2210301</v>
      </c>
      <c r="D937" s="464" t="s">
        <v>1024</v>
      </c>
      <c r="E937" s="476">
        <v>500000</v>
      </c>
    </row>
    <row r="938" spans="1:5" ht="15" customHeight="1">
      <c r="A938" s="470"/>
      <c r="B938" s="470"/>
      <c r="C938" s="510">
        <v>2210302</v>
      </c>
      <c r="D938" s="464" t="s">
        <v>1025</v>
      </c>
      <c r="E938" s="476">
        <v>1500000</v>
      </c>
    </row>
    <row r="939" spans="1:5" ht="15" customHeight="1">
      <c r="A939" s="470"/>
      <c r="B939" s="470"/>
      <c r="C939" s="510">
        <v>2210303</v>
      </c>
      <c r="D939" s="464" t="s">
        <v>1026</v>
      </c>
      <c r="E939" s="476">
        <v>2500000</v>
      </c>
    </row>
    <row r="940" spans="1:5" ht="15" customHeight="1">
      <c r="A940" s="470"/>
      <c r="B940" s="470"/>
      <c r="C940" s="460">
        <v>2210400</v>
      </c>
      <c r="D940" s="486" t="s">
        <v>1127</v>
      </c>
      <c r="E940" s="471">
        <f>SUM(E941:E944)</f>
        <v>1500000</v>
      </c>
    </row>
    <row r="941" spans="1:5" ht="15" customHeight="1">
      <c r="A941" s="470"/>
      <c r="B941" s="470"/>
      <c r="C941" s="459">
        <v>2210401</v>
      </c>
      <c r="D941" s="487" t="s">
        <v>1024</v>
      </c>
      <c r="E941" s="476">
        <v>600000</v>
      </c>
    </row>
    <row r="942" spans="1:5" ht="15" customHeight="1">
      <c r="A942" s="470"/>
      <c r="B942" s="470"/>
      <c r="C942" s="459">
        <v>2210402</v>
      </c>
      <c r="D942" s="487" t="s">
        <v>1128</v>
      </c>
      <c r="E942" s="476">
        <v>500000</v>
      </c>
    </row>
    <row r="943" spans="1:5" ht="15" customHeight="1">
      <c r="A943" s="470"/>
      <c r="B943" s="470"/>
      <c r="C943" s="459">
        <v>2210403</v>
      </c>
      <c r="D943" s="487" t="s">
        <v>1129</v>
      </c>
      <c r="E943" s="476">
        <v>250000</v>
      </c>
    </row>
    <row r="944" spans="1:5" ht="15" customHeight="1">
      <c r="A944" s="470"/>
      <c r="B944" s="470"/>
      <c r="C944" s="459">
        <v>2210404</v>
      </c>
      <c r="D944" s="487" t="s">
        <v>1130</v>
      </c>
      <c r="E944" s="476">
        <v>150000</v>
      </c>
    </row>
    <row r="945" spans="1:5" ht="15" customHeight="1">
      <c r="A945" s="473"/>
      <c r="B945" s="473"/>
      <c r="C945" s="509">
        <v>2210500</v>
      </c>
      <c r="D945" s="468" t="s">
        <v>1029</v>
      </c>
      <c r="E945" s="471">
        <f>SUM(E946:E950)</f>
        <v>1700000</v>
      </c>
    </row>
    <row r="946" spans="1:5" ht="15" customHeight="1">
      <c r="A946" s="470"/>
      <c r="B946" s="470"/>
      <c r="C946" s="510">
        <v>2210502</v>
      </c>
      <c r="D946" s="464" t="s">
        <v>1030</v>
      </c>
      <c r="E946" s="476">
        <v>500000</v>
      </c>
    </row>
    <row r="947" spans="1:5" ht="15" customHeight="1">
      <c r="A947" s="470"/>
      <c r="B947" s="470"/>
      <c r="C947" s="510">
        <v>2210503</v>
      </c>
      <c r="D947" s="464" t="s">
        <v>1031</v>
      </c>
      <c r="E947" s="476">
        <v>500000</v>
      </c>
    </row>
    <row r="948" spans="1:5" ht="15" customHeight="1">
      <c r="A948" s="470"/>
      <c r="B948" s="470"/>
      <c r="C948" s="510">
        <v>2210504</v>
      </c>
      <c r="D948" s="464" t="s">
        <v>1032</v>
      </c>
      <c r="E948" s="476">
        <v>350000</v>
      </c>
    </row>
    <row r="949" spans="1:5" ht="15" customHeight="1">
      <c r="A949" s="470"/>
      <c r="B949" s="470"/>
      <c r="C949" s="510">
        <v>2210505</v>
      </c>
      <c r="D949" s="464" t="s">
        <v>1033</v>
      </c>
      <c r="E949" s="476">
        <v>350000</v>
      </c>
    </row>
    <row r="950" spans="1:5" ht="15" customHeight="1">
      <c r="A950" s="470"/>
      <c r="B950" s="470"/>
      <c r="C950" s="510">
        <v>2210599</v>
      </c>
      <c r="D950" s="464" t="s">
        <v>1034</v>
      </c>
      <c r="E950" s="476"/>
    </row>
    <row r="951" spans="1:5" ht="15" customHeight="1">
      <c r="A951" s="470"/>
      <c r="B951" s="470"/>
      <c r="C951" s="509">
        <v>2210600</v>
      </c>
      <c r="D951" s="468" t="s">
        <v>1035</v>
      </c>
      <c r="E951" s="471">
        <f>SUM(E952:E954)</f>
        <v>800000</v>
      </c>
    </row>
    <row r="952" spans="1:5" ht="15" customHeight="1">
      <c r="A952" s="470"/>
      <c r="B952" s="470"/>
      <c r="C952" s="510">
        <v>2210602</v>
      </c>
      <c r="D952" s="464" t="s">
        <v>1036</v>
      </c>
      <c r="E952" s="476"/>
    </row>
    <row r="953" spans="1:5" ht="15" customHeight="1">
      <c r="A953" s="470"/>
      <c r="B953" s="470"/>
      <c r="C953" s="510">
        <v>2210603</v>
      </c>
      <c r="D953" s="464" t="s">
        <v>1037</v>
      </c>
      <c r="E953" s="476">
        <v>300000</v>
      </c>
    </row>
    <row r="954" spans="1:5" ht="15" customHeight="1">
      <c r="A954" s="470"/>
      <c r="B954" s="470"/>
      <c r="C954" s="510">
        <v>2210604</v>
      </c>
      <c r="D954" s="464" t="s">
        <v>1038</v>
      </c>
      <c r="E954" s="476">
        <v>500000</v>
      </c>
    </row>
    <row r="955" spans="1:5" ht="15" customHeight="1">
      <c r="A955" s="470"/>
      <c r="B955" s="470"/>
      <c r="C955" s="509">
        <v>2210700</v>
      </c>
      <c r="D955" s="468" t="s">
        <v>1039</v>
      </c>
      <c r="E955" s="471">
        <f>SUM(E956:E964)</f>
        <v>4000000</v>
      </c>
    </row>
    <row r="956" spans="1:5" ht="15" customHeight="1">
      <c r="A956" s="470"/>
      <c r="B956" s="470"/>
      <c r="C956" s="510">
        <v>2210701</v>
      </c>
      <c r="D956" s="464" t="s">
        <v>1040</v>
      </c>
      <c r="E956" s="476">
        <v>800000</v>
      </c>
    </row>
    <row r="957" spans="1:5" ht="15" customHeight="1">
      <c r="A957" s="470"/>
      <c r="B957" s="470"/>
      <c r="C957" s="510">
        <v>2210702</v>
      </c>
      <c r="D957" s="464" t="s">
        <v>1041</v>
      </c>
      <c r="E957" s="476"/>
    </row>
    <row r="958" spans="1:5" ht="15" customHeight="1">
      <c r="A958" s="470"/>
      <c r="B958" s="470"/>
      <c r="C958" s="510">
        <v>2210703</v>
      </c>
      <c r="D958" s="464" t="s">
        <v>1042</v>
      </c>
      <c r="E958" s="476">
        <v>100000</v>
      </c>
    </row>
    <row r="959" spans="1:5" ht="15" customHeight="1">
      <c r="A959" s="470"/>
      <c r="B959" s="470"/>
      <c r="C959" s="510">
        <v>2210704</v>
      </c>
      <c r="D959" s="464" t="s">
        <v>1043</v>
      </c>
      <c r="E959" s="476">
        <v>100000</v>
      </c>
    </row>
    <row r="960" spans="1:5" ht="15" customHeight="1">
      <c r="A960" s="470"/>
      <c r="B960" s="470"/>
      <c r="C960" s="510">
        <v>2210710</v>
      </c>
      <c r="D960" s="464" t="s">
        <v>1044</v>
      </c>
      <c r="E960" s="476">
        <v>2000000</v>
      </c>
    </row>
    <row r="961" spans="1:5" ht="15" customHeight="1">
      <c r="A961" s="470"/>
      <c r="B961" s="470"/>
      <c r="C961" s="510">
        <v>2210711</v>
      </c>
      <c r="D961" s="464" t="s">
        <v>1045</v>
      </c>
      <c r="E961" s="476"/>
    </row>
    <row r="962" spans="1:5" ht="15" customHeight="1">
      <c r="A962" s="470"/>
      <c r="B962" s="470"/>
      <c r="C962" s="510">
        <v>2210713</v>
      </c>
      <c r="D962" s="464" t="s">
        <v>1046</v>
      </c>
      <c r="E962" s="476"/>
    </row>
    <row r="963" spans="1:5" ht="15" customHeight="1">
      <c r="A963" s="470"/>
      <c r="B963" s="470"/>
      <c r="C963" s="510">
        <v>2210716</v>
      </c>
      <c r="D963" s="464" t="s">
        <v>1047</v>
      </c>
      <c r="E963" s="476">
        <v>0</v>
      </c>
    </row>
    <row r="964" spans="1:5" ht="15" customHeight="1">
      <c r="A964" s="470"/>
      <c r="B964" s="470"/>
      <c r="C964" s="510">
        <v>2210799</v>
      </c>
      <c r="D964" s="464" t="s">
        <v>1039</v>
      </c>
      <c r="E964" s="476">
        <v>1000000</v>
      </c>
    </row>
    <row r="965" spans="1:5" ht="15" customHeight="1">
      <c r="A965" s="470"/>
      <c r="B965" s="470"/>
      <c r="C965" s="509">
        <v>2210800</v>
      </c>
      <c r="D965" s="468" t="s">
        <v>1049</v>
      </c>
      <c r="E965" s="471">
        <f>SUM(E966:E967)</f>
        <v>2000000</v>
      </c>
    </row>
    <row r="966" spans="1:5" ht="15" customHeight="1">
      <c r="A966" s="470"/>
      <c r="B966" s="470"/>
      <c r="C966" s="510">
        <v>2210801</v>
      </c>
      <c r="D966" s="464" t="s">
        <v>1050</v>
      </c>
      <c r="E966" s="476">
        <v>1500000</v>
      </c>
    </row>
    <row r="967" spans="1:5" ht="15" customHeight="1">
      <c r="A967" s="470"/>
      <c r="B967" s="470"/>
      <c r="C967" s="510">
        <v>2210802</v>
      </c>
      <c r="D967" s="464" t="s">
        <v>1131</v>
      </c>
      <c r="E967" s="476">
        <v>500000</v>
      </c>
    </row>
    <row r="968" spans="1:5" ht="15" customHeight="1">
      <c r="A968" s="470"/>
      <c r="B968" s="470"/>
      <c r="C968" s="509">
        <v>2210900</v>
      </c>
      <c r="D968" s="468" t="s">
        <v>1052</v>
      </c>
      <c r="E968" s="471">
        <f>SUM(E969:E972)</f>
        <v>0</v>
      </c>
    </row>
    <row r="969" spans="1:5" ht="15" customHeight="1">
      <c r="A969" s="470"/>
      <c r="B969" s="470"/>
      <c r="C969" s="510">
        <v>2210901</v>
      </c>
      <c r="D969" s="464" t="s">
        <v>1053</v>
      </c>
      <c r="E969" s="476"/>
    </row>
    <row r="970" spans="1:5" ht="15" customHeight="1">
      <c r="A970" s="470"/>
      <c r="B970" s="470"/>
      <c r="C970" s="510">
        <v>2210902</v>
      </c>
      <c r="D970" s="464" t="s">
        <v>1054</v>
      </c>
      <c r="E970" s="476"/>
    </row>
    <row r="971" spans="1:5" ht="15" customHeight="1">
      <c r="A971" s="470"/>
      <c r="B971" s="470"/>
      <c r="C971" s="510">
        <v>2210904</v>
      </c>
      <c r="D971" s="464" t="s">
        <v>1055</v>
      </c>
      <c r="E971" s="476"/>
    </row>
    <row r="972" spans="1:5" ht="15" customHeight="1">
      <c r="A972" s="470"/>
      <c r="B972" s="470"/>
      <c r="C972" s="510">
        <v>2210910</v>
      </c>
      <c r="D972" s="464" t="s">
        <v>1056</v>
      </c>
      <c r="E972" s="476"/>
    </row>
    <row r="973" spans="1:5" ht="15" customHeight="1">
      <c r="A973" s="470"/>
      <c r="B973" s="470"/>
      <c r="C973" s="509">
        <v>2211000</v>
      </c>
      <c r="D973" s="468" t="s">
        <v>1057</v>
      </c>
      <c r="E973" s="471">
        <f>SUM(E974:E982)</f>
        <v>2500000</v>
      </c>
    </row>
    <row r="974" spans="1:5" ht="15" customHeight="1">
      <c r="A974" s="470"/>
      <c r="B974" s="470"/>
      <c r="C974" s="510">
        <v>2211001</v>
      </c>
      <c r="D974" s="464" t="s">
        <v>1058</v>
      </c>
      <c r="E974" s="471"/>
    </row>
    <row r="975" spans="1:5" ht="15" customHeight="1">
      <c r="A975" s="470"/>
      <c r="B975" s="470"/>
      <c r="C975" s="510">
        <v>2211003</v>
      </c>
      <c r="D975" s="464" t="s">
        <v>1132</v>
      </c>
      <c r="E975" s="471"/>
    </row>
    <row r="976" spans="1:5" ht="15" customHeight="1">
      <c r="A976" s="470"/>
      <c r="B976" s="470"/>
      <c r="C976" s="510">
        <v>2211004</v>
      </c>
      <c r="D976" s="464" t="s">
        <v>1060</v>
      </c>
      <c r="E976" s="471"/>
    </row>
    <row r="977" spans="1:5" ht="15" customHeight="1">
      <c r="A977" s="470"/>
      <c r="B977" s="470"/>
      <c r="C977" s="510">
        <v>2211006</v>
      </c>
      <c r="D977" s="464" t="s">
        <v>1061</v>
      </c>
      <c r="E977" s="476">
        <v>1000000</v>
      </c>
    </row>
    <row r="978" spans="1:5" ht="15" customHeight="1">
      <c r="A978" s="470"/>
      <c r="B978" s="470"/>
      <c r="C978" s="510">
        <v>2211007</v>
      </c>
      <c r="D978" s="464" t="s">
        <v>1133</v>
      </c>
      <c r="E978" s="476"/>
    </row>
    <row r="979" spans="1:5" ht="15" customHeight="1">
      <c r="A979" s="470"/>
      <c r="B979" s="470"/>
      <c r="C979" s="510">
        <v>2211015</v>
      </c>
      <c r="D979" s="464" t="s">
        <v>1063</v>
      </c>
      <c r="E979" s="476"/>
    </row>
    <row r="980" spans="1:5" ht="15" customHeight="1">
      <c r="A980" s="470"/>
      <c r="B980" s="470"/>
      <c r="C980" s="510">
        <v>2211016</v>
      </c>
      <c r="D980" s="464" t="s">
        <v>1064</v>
      </c>
      <c r="E980" s="476">
        <v>1500000</v>
      </c>
    </row>
    <row r="981" spans="1:5" ht="15" customHeight="1">
      <c r="A981" s="470"/>
      <c r="B981" s="470"/>
      <c r="C981" s="510">
        <v>2211023</v>
      </c>
      <c r="D981" s="464" t="s">
        <v>1065</v>
      </c>
      <c r="E981" s="476"/>
    </row>
    <row r="982" spans="1:5" ht="15" customHeight="1">
      <c r="A982" s="470"/>
      <c r="B982" s="470"/>
      <c r="C982" s="510">
        <v>2211026</v>
      </c>
      <c r="D982" s="464" t="s">
        <v>1134</v>
      </c>
      <c r="E982" s="476"/>
    </row>
    <row r="983" spans="1:5" ht="15" customHeight="1">
      <c r="A983" s="470"/>
      <c r="B983" s="470"/>
      <c r="C983" s="509">
        <v>2211100</v>
      </c>
      <c r="D983" s="468" t="s">
        <v>1067</v>
      </c>
      <c r="E983" s="471">
        <f>SUM(E984:E986)</f>
        <v>2500000</v>
      </c>
    </row>
    <row r="984" spans="1:5" ht="15" customHeight="1">
      <c r="A984" s="470"/>
      <c r="B984" s="470"/>
      <c r="C984" s="510">
        <v>2211101</v>
      </c>
      <c r="D984" s="464" t="s">
        <v>1135</v>
      </c>
      <c r="E984" s="476">
        <v>1500000</v>
      </c>
    </row>
    <row r="985" spans="1:5" ht="15" customHeight="1">
      <c r="A985" s="470"/>
      <c r="B985" s="470"/>
      <c r="C985" s="510">
        <v>2211102</v>
      </c>
      <c r="D985" s="464" t="s">
        <v>1069</v>
      </c>
      <c r="E985" s="476">
        <v>500000</v>
      </c>
    </row>
    <row r="986" spans="1:5" ht="15" customHeight="1">
      <c r="A986" s="470"/>
      <c r="B986" s="470"/>
      <c r="C986" s="510">
        <v>2211103</v>
      </c>
      <c r="D986" s="464" t="s">
        <v>1070</v>
      </c>
      <c r="E986" s="476">
        <v>500000</v>
      </c>
    </row>
    <row r="987" spans="1:5" ht="15" customHeight="1">
      <c r="A987" s="470"/>
      <c r="B987" s="470"/>
      <c r="C987" s="509">
        <v>2211200</v>
      </c>
      <c r="D987" s="468" t="s">
        <v>1071</v>
      </c>
      <c r="E987" s="471">
        <f>SUM(E988:E989)</f>
        <v>3500000</v>
      </c>
    </row>
    <row r="988" spans="1:5" ht="15" customHeight="1">
      <c r="A988" s="470"/>
      <c r="B988" s="470"/>
      <c r="C988" s="510">
        <v>2211201</v>
      </c>
      <c r="D988" s="464" t="s">
        <v>1072</v>
      </c>
      <c r="E988" s="476">
        <v>3500000</v>
      </c>
    </row>
    <row r="989" spans="1:5" ht="15" customHeight="1">
      <c r="A989" s="470"/>
      <c r="B989" s="470"/>
      <c r="C989" s="510">
        <v>2211201</v>
      </c>
      <c r="D989" s="464" t="s">
        <v>1136</v>
      </c>
      <c r="E989" s="476">
        <v>0</v>
      </c>
    </row>
    <row r="990" spans="1:5" ht="15" customHeight="1">
      <c r="A990" s="473"/>
      <c r="B990" s="473"/>
      <c r="C990" s="509">
        <v>2211300</v>
      </c>
      <c r="D990" s="468" t="s">
        <v>1074</v>
      </c>
      <c r="E990" s="471">
        <f>SUM(E991:E1000)</f>
        <v>1000000</v>
      </c>
    </row>
    <row r="991" spans="1:5" ht="15" customHeight="1">
      <c r="A991" s="470"/>
      <c r="B991" s="470"/>
      <c r="C991" s="511">
        <v>2211301</v>
      </c>
      <c r="D991" s="464" t="s">
        <v>1075</v>
      </c>
      <c r="E991" s="476"/>
    </row>
    <row r="992" spans="1:5" ht="15" customHeight="1">
      <c r="A992" s="470"/>
      <c r="B992" s="470"/>
      <c r="C992" s="511">
        <v>2211304</v>
      </c>
      <c r="D992" s="464" t="s">
        <v>1076</v>
      </c>
      <c r="E992" s="476"/>
    </row>
    <row r="993" spans="1:5" ht="15" customHeight="1">
      <c r="A993" s="470"/>
      <c r="B993" s="470"/>
      <c r="C993" s="511">
        <v>2211308</v>
      </c>
      <c r="D993" s="464" t="s">
        <v>1077</v>
      </c>
      <c r="E993" s="476">
        <v>0</v>
      </c>
    </row>
    <row r="994" spans="1:5" ht="15" customHeight="1">
      <c r="A994" s="470"/>
      <c r="B994" s="470"/>
      <c r="C994" s="511">
        <v>2211309</v>
      </c>
      <c r="D994" s="464" t="s">
        <v>1078</v>
      </c>
      <c r="E994" s="476"/>
    </row>
    <row r="995" spans="1:5" ht="15" customHeight="1">
      <c r="A995" s="470"/>
      <c r="B995" s="470"/>
      <c r="C995" s="511">
        <v>2211310</v>
      </c>
      <c r="D995" s="464" t="s">
        <v>1137</v>
      </c>
      <c r="E995" s="476">
        <v>0</v>
      </c>
    </row>
    <row r="996" spans="1:5" ht="15" customHeight="1">
      <c r="A996" s="470"/>
      <c r="B996" s="470"/>
      <c r="C996" s="511">
        <v>2211311</v>
      </c>
      <c r="D996" s="464" t="s">
        <v>1080</v>
      </c>
      <c r="E996" s="476">
        <v>800000</v>
      </c>
    </row>
    <row r="997" spans="1:5" ht="15" customHeight="1">
      <c r="A997" s="470"/>
      <c r="B997" s="470"/>
      <c r="C997" s="511">
        <v>2211313</v>
      </c>
      <c r="D997" s="464" t="s">
        <v>1082</v>
      </c>
      <c r="E997" s="476">
        <v>200000</v>
      </c>
    </row>
    <row r="998" spans="1:5" ht="15" customHeight="1">
      <c r="A998" s="470"/>
      <c r="B998" s="470"/>
      <c r="C998" s="511">
        <v>2211314</v>
      </c>
      <c r="D998" s="464" t="s">
        <v>1083</v>
      </c>
      <c r="E998" s="476"/>
    </row>
    <row r="999" spans="1:5" ht="15" customHeight="1">
      <c r="A999" s="470"/>
      <c r="B999" s="470"/>
      <c r="C999" s="511">
        <v>2211329</v>
      </c>
      <c r="D999" s="464" t="s">
        <v>1084</v>
      </c>
      <c r="E999" s="476"/>
    </row>
    <row r="1000" spans="1:5" ht="15" customHeight="1">
      <c r="A1000" s="470"/>
      <c r="B1000" s="470"/>
      <c r="C1000" s="511">
        <v>2211399</v>
      </c>
      <c r="D1000" s="464" t="s">
        <v>1074</v>
      </c>
      <c r="E1000" s="476">
        <v>0</v>
      </c>
    </row>
    <row r="1001" spans="1:5" ht="15" customHeight="1">
      <c r="A1001" s="473"/>
      <c r="B1001" s="473"/>
      <c r="C1001" s="509">
        <v>2220100</v>
      </c>
      <c r="D1001" s="468" t="s">
        <v>1086</v>
      </c>
      <c r="E1001" s="471">
        <f>SUM(E1002)</f>
        <v>3000000</v>
      </c>
    </row>
    <row r="1002" spans="1:5" ht="15" customHeight="1">
      <c r="A1002" s="470"/>
      <c r="B1002" s="470"/>
      <c r="C1002" s="510">
        <v>2220101</v>
      </c>
      <c r="D1002" s="464" t="s">
        <v>1138</v>
      </c>
      <c r="E1002" s="476">
        <v>3000000</v>
      </c>
    </row>
    <row r="1003" spans="1:5" ht="15" customHeight="1">
      <c r="A1003" s="473"/>
      <c r="B1003" s="473"/>
      <c r="C1003" s="509">
        <v>2220200</v>
      </c>
      <c r="D1003" s="468" t="s">
        <v>1088</v>
      </c>
      <c r="E1003" s="471">
        <f>SUM(E1004:E1011)</f>
        <v>2650000</v>
      </c>
    </row>
    <row r="1004" spans="1:5" ht="15" customHeight="1">
      <c r="A1004" s="470"/>
      <c r="B1004" s="470"/>
      <c r="C1004" s="510">
        <v>2220201</v>
      </c>
      <c r="D1004" s="464" t="s">
        <v>1089</v>
      </c>
      <c r="E1004" s="476">
        <v>1000000</v>
      </c>
    </row>
    <row r="1005" spans="1:5" ht="15" customHeight="1">
      <c r="A1005" s="470"/>
      <c r="B1005" s="470"/>
      <c r="C1005" s="510">
        <v>2220205</v>
      </c>
      <c r="D1005" s="464" t="s">
        <v>1090</v>
      </c>
      <c r="E1005" s="476">
        <v>1000000</v>
      </c>
    </row>
    <row r="1006" spans="1:5" ht="15" customHeight="1">
      <c r="A1006" s="470"/>
      <c r="B1006" s="470"/>
      <c r="C1006" s="510">
        <v>2220206</v>
      </c>
      <c r="D1006" s="464" t="s">
        <v>1091</v>
      </c>
      <c r="E1006" s="476"/>
    </row>
    <row r="1007" spans="1:5" ht="15" customHeight="1">
      <c r="A1007" s="470"/>
      <c r="B1007" s="470"/>
      <c r="C1007" s="510">
        <v>2220207</v>
      </c>
      <c r="D1007" s="464" t="s">
        <v>1092</v>
      </c>
      <c r="E1007" s="476"/>
    </row>
    <row r="1008" spans="1:5" ht="15" customHeight="1">
      <c r="A1008" s="470"/>
      <c r="B1008" s="470"/>
      <c r="C1008" s="510">
        <v>2220210</v>
      </c>
      <c r="D1008" s="464" t="s">
        <v>1093</v>
      </c>
      <c r="E1008" s="476">
        <v>250000</v>
      </c>
    </row>
    <row r="1009" spans="1:5" ht="15" customHeight="1">
      <c r="A1009" s="470"/>
      <c r="B1009" s="470"/>
      <c r="C1009" s="510">
        <v>2220204</v>
      </c>
      <c r="D1009" s="464" t="s">
        <v>1094</v>
      </c>
      <c r="E1009" s="476">
        <v>400000</v>
      </c>
    </row>
    <row r="1010" spans="1:5" ht="15" customHeight="1">
      <c r="A1010" s="470"/>
      <c r="B1010" s="470"/>
      <c r="C1010" s="510">
        <v>2220299</v>
      </c>
      <c r="D1010" s="464" t="s">
        <v>1088</v>
      </c>
      <c r="E1010" s="476">
        <v>0</v>
      </c>
    </row>
    <row r="1011" spans="1:5" ht="15" customHeight="1">
      <c r="A1011" s="470"/>
      <c r="B1011" s="470"/>
      <c r="C1011" s="510">
        <v>2220206</v>
      </c>
      <c r="D1011" s="464" t="s">
        <v>1091</v>
      </c>
      <c r="E1011" s="476"/>
    </row>
    <row r="1012" spans="1:5" ht="15" customHeight="1">
      <c r="A1012" s="470"/>
      <c r="B1012" s="470"/>
      <c r="C1012" s="509">
        <v>2620100</v>
      </c>
      <c r="D1012" s="468" t="s">
        <v>1095</v>
      </c>
      <c r="E1012" s="471">
        <f>SUM(E1013)</f>
        <v>0</v>
      </c>
    </row>
    <row r="1013" spans="1:5" ht="15" customHeight="1">
      <c r="A1013" s="470"/>
      <c r="B1013" s="470"/>
      <c r="C1013" s="510">
        <v>2620161</v>
      </c>
      <c r="D1013" s="464" t="s">
        <v>1096</v>
      </c>
      <c r="E1013" s="476"/>
    </row>
    <row r="1014" spans="1:5" ht="15" customHeight="1">
      <c r="A1014" s="470"/>
      <c r="B1014" s="470"/>
      <c r="C1014" s="509">
        <v>2640100</v>
      </c>
      <c r="D1014" s="468" t="s">
        <v>1097</v>
      </c>
      <c r="E1014" s="471">
        <f>SUM(E1015:E1016)</f>
        <v>0</v>
      </c>
    </row>
    <row r="1015" spans="1:5" ht="15" customHeight="1">
      <c r="A1015" s="470"/>
      <c r="B1015" s="470"/>
      <c r="C1015" s="510">
        <v>2640105</v>
      </c>
      <c r="D1015" s="464" t="s">
        <v>1098</v>
      </c>
      <c r="E1015" s="476"/>
    </row>
    <row r="1016" spans="1:5" ht="15" customHeight="1">
      <c r="A1016" s="470"/>
      <c r="B1016" s="470"/>
      <c r="C1016" s="510">
        <v>2649999</v>
      </c>
      <c r="D1016" s="464" t="s">
        <v>1097</v>
      </c>
      <c r="E1016" s="476"/>
    </row>
    <row r="1017" spans="1:5" ht="15" customHeight="1">
      <c r="A1017" s="470"/>
      <c r="B1017" s="470"/>
      <c r="C1017" s="509">
        <v>2640200</v>
      </c>
      <c r="D1017" s="468" t="s">
        <v>1099</v>
      </c>
      <c r="E1017" s="471">
        <f>SUM(E1018)</f>
        <v>0</v>
      </c>
    </row>
    <row r="1018" spans="1:5" ht="15" customHeight="1">
      <c r="A1018" s="470"/>
      <c r="B1018" s="470"/>
      <c r="C1018" s="510">
        <v>2640299</v>
      </c>
      <c r="D1018" s="464" t="s">
        <v>1139</v>
      </c>
      <c r="E1018" s="476">
        <v>0</v>
      </c>
    </row>
    <row r="1019" spans="1:5" ht="15" customHeight="1">
      <c r="A1019" s="470"/>
      <c r="B1019" s="470"/>
      <c r="C1019" s="509">
        <v>2810200</v>
      </c>
      <c r="D1019" s="468" t="s">
        <v>1101</v>
      </c>
      <c r="E1019" s="471">
        <f>SUM(E1020)</f>
        <v>0</v>
      </c>
    </row>
    <row r="1020" spans="1:5" ht="15" customHeight="1">
      <c r="A1020" s="470"/>
      <c r="B1020" s="470"/>
      <c r="C1020" s="510">
        <v>2810205</v>
      </c>
      <c r="D1020" s="464" t="s">
        <v>1102</v>
      </c>
      <c r="E1020" s="476"/>
    </row>
    <row r="1021" spans="1:5" ht="15" customHeight="1">
      <c r="A1021" s="470"/>
      <c r="B1021" s="470"/>
      <c r="C1021" s="509">
        <v>3110300</v>
      </c>
      <c r="D1021" s="468" t="s">
        <v>1103</v>
      </c>
      <c r="E1021" s="471">
        <f>SUM(E1022:E1023)</f>
        <v>0</v>
      </c>
    </row>
    <row r="1022" spans="1:5" ht="15" customHeight="1">
      <c r="A1022" s="470"/>
      <c r="B1022" s="470"/>
      <c r="C1022" s="510">
        <v>3110301</v>
      </c>
      <c r="D1022" s="464" t="s">
        <v>1104</v>
      </c>
      <c r="E1022" s="476">
        <v>0</v>
      </c>
    </row>
    <row r="1023" spans="1:5" ht="15" customHeight="1">
      <c r="A1023" s="470"/>
      <c r="B1023" s="470"/>
      <c r="C1023" s="510">
        <v>3110302</v>
      </c>
      <c r="D1023" s="464" t="s">
        <v>1105</v>
      </c>
      <c r="E1023" s="476"/>
    </row>
    <row r="1024" spans="1:5" ht="15" customHeight="1">
      <c r="A1024" s="470"/>
      <c r="B1024" s="470"/>
      <c r="C1024" s="509">
        <v>2710100</v>
      </c>
      <c r="D1024" s="468" t="s">
        <v>1106</v>
      </c>
      <c r="E1024" s="471">
        <f>SUM(E1025)</f>
        <v>0</v>
      </c>
    </row>
    <row r="1025" spans="1:5" ht="15" customHeight="1">
      <c r="A1025" s="470"/>
      <c r="B1025" s="470"/>
      <c r="C1025" s="509">
        <v>2710102</v>
      </c>
      <c r="D1025" s="464" t="s">
        <v>1140</v>
      </c>
      <c r="E1025" s="476"/>
    </row>
    <row r="1026" spans="1:5" ht="15" customHeight="1">
      <c r="A1026" s="470"/>
      <c r="B1026" s="470"/>
      <c r="C1026" s="509">
        <v>3110700</v>
      </c>
      <c r="D1026" s="468" t="s">
        <v>1108</v>
      </c>
      <c r="E1026" s="471">
        <f>SUM(E1027)</f>
        <v>0</v>
      </c>
    </row>
    <row r="1027" spans="1:5" ht="15" customHeight="1">
      <c r="A1027" s="470"/>
      <c r="B1027" s="470"/>
      <c r="C1027" s="510">
        <v>3110701</v>
      </c>
      <c r="D1027" s="464" t="s">
        <v>1109</v>
      </c>
      <c r="E1027" s="476">
        <v>0</v>
      </c>
    </row>
    <row r="1028" spans="1:5" ht="15" customHeight="1">
      <c r="A1028" s="470"/>
      <c r="B1028" s="470"/>
      <c r="C1028" s="509">
        <v>3111000</v>
      </c>
      <c r="D1028" s="468" t="s">
        <v>1110</v>
      </c>
      <c r="E1028" s="471">
        <f>SUM(E1029:E1030)</f>
        <v>3000000</v>
      </c>
    </row>
    <row r="1029" spans="1:5" ht="15" customHeight="1">
      <c r="A1029" s="470"/>
      <c r="B1029" s="470"/>
      <c r="C1029" s="510">
        <v>3111001</v>
      </c>
      <c r="D1029" s="464" t="s">
        <v>2214</v>
      </c>
      <c r="E1029" s="476">
        <v>3000000</v>
      </c>
    </row>
    <row r="1030" spans="1:5" ht="15" customHeight="1">
      <c r="A1030" s="470"/>
      <c r="B1030" s="470"/>
      <c r="C1030" s="510">
        <v>3111002</v>
      </c>
      <c r="D1030" s="464" t="s">
        <v>1112</v>
      </c>
      <c r="E1030" s="476">
        <v>0</v>
      </c>
    </row>
    <row r="1031" spans="1:5" ht="15" customHeight="1">
      <c r="A1031" s="470"/>
      <c r="B1031" s="470"/>
      <c r="C1031" s="509">
        <v>3111300</v>
      </c>
      <c r="D1031" s="468" t="s">
        <v>1142</v>
      </c>
      <c r="E1031" s="471">
        <f>SUM(E1032:E1034)</f>
        <v>500000</v>
      </c>
    </row>
    <row r="1032" spans="1:5" ht="15" customHeight="1">
      <c r="A1032" s="470"/>
      <c r="B1032" s="470"/>
      <c r="C1032" s="510">
        <v>3111301</v>
      </c>
      <c r="D1032" s="464" t="s">
        <v>971</v>
      </c>
      <c r="E1032" s="476">
        <v>0</v>
      </c>
    </row>
    <row r="1033" spans="1:5" ht="15" customHeight="1">
      <c r="A1033" s="470"/>
      <c r="B1033" s="470"/>
      <c r="C1033" s="510">
        <v>3111302</v>
      </c>
      <c r="D1033" s="464" t="s">
        <v>1113</v>
      </c>
      <c r="E1033" s="476"/>
    </row>
    <row r="1034" spans="1:5" ht="15" customHeight="1">
      <c r="A1034" s="470"/>
      <c r="B1034" s="470"/>
      <c r="C1034" s="510">
        <v>3111305</v>
      </c>
      <c r="D1034" s="464" t="s">
        <v>1114</v>
      </c>
      <c r="E1034" s="476">
        <v>500000</v>
      </c>
    </row>
    <row r="1035" spans="1:5" ht="15" customHeight="1">
      <c r="A1035" s="470"/>
      <c r="B1035" s="470"/>
      <c r="C1035" s="509">
        <v>3111400</v>
      </c>
      <c r="D1035" s="468" t="s">
        <v>1119</v>
      </c>
      <c r="E1035" s="471">
        <f>SUM(E1036:E1038)</f>
        <v>1500000</v>
      </c>
    </row>
    <row r="1036" spans="1:5" ht="15" customHeight="1">
      <c r="A1036" s="470"/>
      <c r="B1036" s="470"/>
      <c r="C1036" s="510">
        <v>3111401</v>
      </c>
      <c r="D1036" s="464" t="s">
        <v>2225</v>
      </c>
      <c r="E1036" s="476">
        <v>1500000</v>
      </c>
    </row>
    <row r="1037" spans="1:5" ht="15" customHeight="1">
      <c r="A1037" s="470"/>
      <c r="B1037" s="470"/>
      <c r="C1037" s="510">
        <v>3111403</v>
      </c>
      <c r="D1037" s="464" t="s">
        <v>1116</v>
      </c>
      <c r="E1037" s="476">
        <v>0</v>
      </c>
    </row>
    <row r="1038" spans="1:5" ht="15" customHeight="1">
      <c r="A1038" s="470"/>
      <c r="B1038" s="470"/>
      <c r="C1038" s="510">
        <v>3111499</v>
      </c>
      <c r="D1038" s="464" t="s">
        <v>1117</v>
      </c>
      <c r="E1038" s="476">
        <v>0</v>
      </c>
    </row>
    <row r="1039" spans="1:5" ht="15" customHeight="1">
      <c r="A1039" s="473"/>
      <c r="B1039" s="473"/>
      <c r="C1039" s="509">
        <v>3111500</v>
      </c>
      <c r="D1039" s="468" t="s">
        <v>1230</v>
      </c>
      <c r="E1039" s="471">
        <f>E1040</f>
        <v>0</v>
      </c>
    </row>
    <row r="1040" spans="1:5" ht="15" customHeight="1">
      <c r="A1040" s="470"/>
      <c r="B1040" s="470"/>
      <c r="C1040" s="510">
        <v>3111502</v>
      </c>
      <c r="D1040" s="464" t="s">
        <v>1231</v>
      </c>
      <c r="E1040" s="476">
        <v>0</v>
      </c>
    </row>
    <row r="1041" spans="1:5" ht="15" customHeight="1">
      <c r="A1041" s="470"/>
      <c r="B1041" s="1375" t="s">
        <v>1144</v>
      </c>
      <c r="C1041" s="1376"/>
      <c r="D1041" s="1377"/>
      <c r="E1041" s="508">
        <f>SUM(E1039,E1035,E1031,E1028,E1026,E1021,E1017,E1003,E1001,E990,E987,E983,E973,E965,E955,E951,E945,E936,E932,E928,E924,E915,E913,E911,E940)</f>
        <v>133091797.7264</v>
      </c>
    </row>
    <row r="1042" spans="1:5" ht="15" customHeight="1">
      <c r="A1042" s="1378"/>
      <c r="B1042" s="1379"/>
      <c r="C1042" s="1379"/>
      <c r="D1042" s="1379"/>
      <c r="E1042" s="1380"/>
    </row>
    <row r="1043" spans="1:5" ht="15" customHeight="1">
      <c r="A1043" s="1390"/>
      <c r="B1043" s="1391"/>
      <c r="C1043" s="1391"/>
      <c r="D1043" s="1391"/>
      <c r="E1043" s="1392"/>
    </row>
    <row r="1044" spans="1:5" ht="15" customHeight="1">
      <c r="A1044" s="1356" t="s">
        <v>1120</v>
      </c>
      <c r="B1044" s="1357"/>
      <c r="C1044" s="1357"/>
      <c r="D1044" s="1357"/>
      <c r="E1044" s="1357"/>
    </row>
    <row r="1045" spans="1:5" ht="15" customHeight="1">
      <c r="A1045" s="1353" t="s">
        <v>1431</v>
      </c>
      <c r="B1045" s="1354"/>
      <c r="C1045" s="1354"/>
      <c r="D1045" s="1354"/>
      <c r="E1045" s="1354"/>
    </row>
    <row r="1046" spans="1:5" ht="15" customHeight="1">
      <c r="A1046" s="1358" t="s">
        <v>1245</v>
      </c>
      <c r="B1046" s="1359"/>
      <c r="C1046" s="1359"/>
      <c r="D1046" s="1359"/>
      <c r="E1046" s="1359"/>
    </row>
    <row r="1047" spans="1:8" ht="33.75" customHeight="1">
      <c r="A1047" s="479" t="s">
        <v>1122</v>
      </c>
      <c r="B1047" s="465"/>
      <c r="C1047" s="478" t="s">
        <v>998</v>
      </c>
      <c r="D1047" s="486" t="s">
        <v>997</v>
      </c>
      <c r="E1047" s="515" t="s">
        <v>1432</v>
      </c>
      <c r="F1047" s="533" t="s">
        <v>1382</v>
      </c>
      <c r="G1047" s="533" t="s">
        <v>1383</v>
      </c>
      <c r="H1047" s="533" t="s">
        <v>1384</v>
      </c>
    </row>
    <row r="1048" spans="1:5" ht="15" customHeight="1">
      <c r="A1048" s="465"/>
      <c r="B1048" s="467" t="s">
        <v>1123</v>
      </c>
      <c r="C1048" s="503">
        <v>2110100</v>
      </c>
      <c r="D1048" s="504" t="s">
        <v>999</v>
      </c>
      <c r="E1048" s="480">
        <f>E1049</f>
        <v>32753227.34</v>
      </c>
    </row>
    <row r="1049" spans="1:6" ht="15" customHeight="1">
      <c r="A1049" s="467"/>
      <c r="B1049" s="467"/>
      <c r="C1049" s="510">
        <v>2110101</v>
      </c>
      <c r="D1049" s="505" t="s">
        <v>1145</v>
      </c>
      <c r="E1049" s="466">
        <f>26655636*1.065+4364975</f>
        <v>32753227.34</v>
      </c>
      <c r="F1049" s="466">
        <v>26655636</v>
      </c>
    </row>
    <row r="1050" spans="1:5" ht="15" customHeight="1">
      <c r="A1050" s="465"/>
      <c r="B1050" s="465"/>
      <c r="C1050" s="460">
        <v>2120100</v>
      </c>
      <c r="D1050" s="486" t="s">
        <v>1012</v>
      </c>
      <c r="E1050" s="462">
        <f>E1051+E1052</f>
        <v>4613005.6852</v>
      </c>
    </row>
    <row r="1051" spans="1:6" ht="15" customHeight="1">
      <c r="A1051" s="465"/>
      <c r="B1051" s="465"/>
      <c r="C1051" s="460">
        <v>2120101</v>
      </c>
      <c r="D1051" s="487" t="s">
        <v>1013</v>
      </c>
      <c r="E1051" s="491">
        <f>124800*1.06+392992</f>
        <v>525280</v>
      </c>
      <c r="F1051" s="491">
        <v>124800</v>
      </c>
    </row>
    <row r="1052" spans="1:6" ht="15" customHeight="1">
      <c r="A1052" s="465"/>
      <c r="B1052" s="465"/>
      <c r="C1052" s="459">
        <v>2120103</v>
      </c>
      <c r="D1052" s="487" t="s">
        <v>1126</v>
      </c>
      <c r="E1052" s="491">
        <f>3838240.08*1.065</f>
        <v>4087725.6851999997</v>
      </c>
      <c r="F1052" s="491">
        <v>3838240.08</v>
      </c>
    </row>
    <row r="1053" spans="1:5" ht="15" customHeight="1">
      <c r="A1053" s="465"/>
      <c r="B1053" s="465"/>
      <c r="C1053" s="460">
        <v>2210100</v>
      </c>
      <c r="D1053" s="486" t="s">
        <v>1015</v>
      </c>
      <c r="E1053" s="462">
        <f>E1054+E1055</f>
        <v>600000</v>
      </c>
    </row>
    <row r="1054" spans="1:6" ht="15" customHeight="1">
      <c r="A1054" s="465"/>
      <c r="B1054" s="465"/>
      <c r="C1054" s="459">
        <v>2210101</v>
      </c>
      <c r="D1054" s="487" t="s">
        <v>1016</v>
      </c>
      <c r="E1054" s="491">
        <v>350000</v>
      </c>
      <c r="F1054" s="491">
        <v>350000</v>
      </c>
    </row>
    <row r="1055" spans="1:6" ht="15" customHeight="1">
      <c r="A1055" s="465"/>
      <c r="B1055" s="465"/>
      <c r="C1055" s="459">
        <v>2210102</v>
      </c>
      <c r="D1055" s="487" t="s">
        <v>1017</v>
      </c>
      <c r="E1055" s="491">
        <v>250000</v>
      </c>
      <c r="F1055" s="491">
        <v>250000</v>
      </c>
    </row>
    <row r="1056" spans="1:5" ht="15" customHeight="1">
      <c r="A1056" s="465"/>
      <c r="B1056" s="465"/>
      <c r="C1056" s="460">
        <v>2210200</v>
      </c>
      <c r="D1056" s="486" t="s">
        <v>1019</v>
      </c>
      <c r="E1056" s="462">
        <f>E1057+E1058</f>
        <v>500000</v>
      </c>
    </row>
    <row r="1057" spans="1:6" ht="15" customHeight="1">
      <c r="A1057" s="465"/>
      <c r="B1057" s="465"/>
      <c r="C1057" s="459">
        <v>2210201</v>
      </c>
      <c r="D1057" s="487" t="s">
        <v>1020</v>
      </c>
      <c r="E1057" s="491">
        <v>350000</v>
      </c>
      <c r="F1057" s="491">
        <v>350000</v>
      </c>
    </row>
    <row r="1058" spans="1:6" ht="15" customHeight="1">
      <c r="A1058" s="465"/>
      <c r="B1058" s="465"/>
      <c r="C1058" s="459">
        <v>2210202</v>
      </c>
      <c r="D1058" s="487" t="s">
        <v>1021</v>
      </c>
      <c r="E1058" s="491">
        <v>150000</v>
      </c>
      <c r="F1058" s="491">
        <v>150000</v>
      </c>
    </row>
    <row r="1059" spans="1:5" ht="15" customHeight="1">
      <c r="A1059" s="465"/>
      <c r="B1059" s="465"/>
      <c r="C1059" s="460">
        <v>2210300</v>
      </c>
      <c r="D1059" s="486" t="s">
        <v>1023</v>
      </c>
      <c r="E1059" s="462">
        <f>E1060+E1061+E1062</f>
        <v>4500000</v>
      </c>
    </row>
    <row r="1060" spans="1:6" ht="15" customHeight="1">
      <c r="A1060" s="465"/>
      <c r="B1060" s="465"/>
      <c r="C1060" s="459">
        <v>2210301</v>
      </c>
      <c r="D1060" s="487" t="s">
        <v>1024</v>
      </c>
      <c r="E1060" s="491">
        <v>1500000</v>
      </c>
      <c r="F1060" s="491">
        <v>1500000</v>
      </c>
    </row>
    <row r="1061" spans="1:6" ht="15" customHeight="1">
      <c r="A1061" s="465"/>
      <c r="B1061" s="465"/>
      <c r="C1061" s="459">
        <v>2210302</v>
      </c>
      <c r="D1061" s="487" t="s">
        <v>1128</v>
      </c>
      <c r="E1061" s="491">
        <v>1500000</v>
      </c>
      <c r="F1061" s="491">
        <v>1500000</v>
      </c>
    </row>
    <row r="1062" spans="1:6" ht="15" customHeight="1">
      <c r="A1062" s="465"/>
      <c r="B1062" s="465"/>
      <c r="C1062" s="459">
        <v>2210303</v>
      </c>
      <c r="D1062" s="487" t="s">
        <v>1129</v>
      </c>
      <c r="E1062" s="491">
        <v>1500000</v>
      </c>
      <c r="F1062" s="491">
        <v>1500000</v>
      </c>
    </row>
    <row r="1063" spans="1:5" ht="15" customHeight="1">
      <c r="A1063" s="465"/>
      <c r="B1063" s="465"/>
      <c r="C1063" s="460">
        <v>2210500</v>
      </c>
      <c r="D1063" s="486" t="s">
        <v>1029</v>
      </c>
      <c r="E1063" s="462">
        <f>E1064+E1065+E1066</f>
        <v>3300000</v>
      </c>
    </row>
    <row r="1064" spans="1:6" ht="15" customHeight="1">
      <c r="A1064" s="465"/>
      <c r="B1064" s="465"/>
      <c r="C1064" s="459">
        <v>2210502</v>
      </c>
      <c r="D1064" s="487" t="s">
        <v>1030</v>
      </c>
      <c r="E1064" s="491">
        <v>2000000</v>
      </c>
      <c r="F1064" s="491">
        <v>2000000</v>
      </c>
    </row>
    <row r="1065" spans="1:6" ht="15" customHeight="1">
      <c r="A1065" s="465"/>
      <c r="B1065" s="465"/>
      <c r="C1065" s="459">
        <v>2210503</v>
      </c>
      <c r="D1065" s="487" t="s">
        <v>1031</v>
      </c>
      <c r="E1065" s="491">
        <v>300000</v>
      </c>
      <c r="F1065" s="491">
        <v>300000</v>
      </c>
    </row>
    <row r="1066" spans="1:6" ht="15" customHeight="1">
      <c r="A1066" s="465"/>
      <c r="B1066" s="465"/>
      <c r="C1066" s="459">
        <v>2210504</v>
      </c>
      <c r="D1066" s="487" t="s">
        <v>1032</v>
      </c>
      <c r="E1066" s="491">
        <v>1000000</v>
      </c>
      <c r="F1066" s="491">
        <v>1000000</v>
      </c>
    </row>
    <row r="1067" spans="1:5" ht="15" customHeight="1">
      <c r="A1067" s="465"/>
      <c r="B1067" s="465"/>
      <c r="C1067" s="460">
        <v>2210600</v>
      </c>
      <c r="D1067" s="486" t="s">
        <v>1153</v>
      </c>
      <c r="E1067" s="490">
        <f>SUM(E1068)</f>
        <v>1000000</v>
      </c>
    </row>
    <row r="1068" spans="1:6" ht="15" customHeight="1">
      <c r="A1068" s="465"/>
      <c r="B1068" s="465"/>
      <c r="C1068" s="459">
        <v>2210604</v>
      </c>
      <c r="D1068" s="487" t="s">
        <v>1232</v>
      </c>
      <c r="E1068" s="491">
        <v>1000000</v>
      </c>
      <c r="F1068" s="491">
        <v>1000000</v>
      </c>
    </row>
    <row r="1069" spans="1:5" ht="15" customHeight="1">
      <c r="A1069" s="465"/>
      <c r="B1069" s="465"/>
      <c r="C1069" s="460">
        <v>2210700</v>
      </c>
      <c r="D1069" s="486" t="s">
        <v>1039</v>
      </c>
      <c r="E1069" s="462">
        <f>E1070</f>
        <v>1500000</v>
      </c>
    </row>
    <row r="1070" spans="1:6" ht="15" customHeight="1">
      <c r="A1070" s="465"/>
      <c r="B1070" s="465"/>
      <c r="C1070" s="459">
        <v>2210799</v>
      </c>
      <c r="D1070" s="487" t="s">
        <v>1039</v>
      </c>
      <c r="E1070" s="491">
        <v>1500000</v>
      </c>
      <c r="F1070" s="491">
        <v>1500000</v>
      </c>
    </row>
    <row r="1071" spans="1:5" ht="15" customHeight="1">
      <c r="A1071" s="465"/>
      <c r="B1071" s="465"/>
      <c r="C1071" s="460">
        <v>2210800</v>
      </c>
      <c r="D1071" s="486" t="s">
        <v>1049</v>
      </c>
      <c r="E1071" s="462">
        <f>E1072+E1073</f>
        <v>1000000</v>
      </c>
    </row>
    <row r="1072" spans="1:6" ht="15" customHeight="1">
      <c r="A1072" s="465"/>
      <c r="B1072" s="465"/>
      <c r="C1072" s="459">
        <v>2210801</v>
      </c>
      <c r="D1072" s="487" t="s">
        <v>1158</v>
      </c>
      <c r="E1072" s="491">
        <v>500000</v>
      </c>
      <c r="F1072" s="491">
        <v>500000</v>
      </c>
    </row>
    <row r="1073" spans="1:6" ht="15" customHeight="1">
      <c r="A1073" s="465"/>
      <c r="B1073" s="465"/>
      <c r="C1073" s="459">
        <v>2210802</v>
      </c>
      <c r="D1073" s="487" t="s">
        <v>1131</v>
      </c>
      <c r="E1073" s="491">
        <v>500000</v>
      </c>
      <c r="F1073" s="491">
        <v>500000</v>
      </c>
    </row>
    <row r="1074" spans="1:5" ht="15" customHeight="1">
      <c r="A1074" s="465"/>
      <c r="B1074" s="465"/>
      <c r="C1074" s="460">
        <v>2210900</v>
      </c>
      <c r="D1074" s="486" t="s">
        <v>1052</v>
      </c>
      <c r="E1074" s="462">
        <f>E1075</f>
        <v>0</v>
      </c>
    </row>
    <row r="1075" spans="1:5" ht="15" customHeight="1">
      <c r="A1075" s="465"/>
      <c r="B1075" s="465"/>
      <c r="C1075" s="459">
        <v>2210904</v>
      </c>
      <c r="D1075" s="487" t="s">
        <v>1055</v>
      </c>
      <c r="E1075" s="491">
        <v>0</v>
      </c>
    </row>
    <row r="1076" spans="1:5" ht="15" customHeight="1">
      <c r="A1076" s="465"/>
      <c r="B1076" s="465"/>
      <c r="C1076" s="460">
        <v>2211000</v>
      </c>
      <c r="D1076" s="486" t="s">
        <v>1160</v>
      </c>
      <c r="E1076" s="462">
        <f>E1077+E1078</f>
        <v>1300000</v>
      </c>
    </row>
    <row r="1077" spans="1:6" ht="15" customHeight="1">
      <c r="A1077" s="465"/>
      <c r="B1077" s="465"/>
      <c r="C1077" s="459">
        <v>2211006</v>
      </c>
      <c r="D1077" s="487" t="s">
        <v>1061</v>
      </c>
      <c r="E1077" s="491">
        <v>1000000</v>
      </c>
      <c r="F1077" s="491">
        <v>1000000</v>
      </c>
    </row>
    <row r="1078" spans="1:6" ht="15" customHeight="1">
      <c r="A1078" s="465"/>
      <c r="B1078" s="465"/>
      <c r="C1078" s="459">
        <v>2211016</v>
      </c>
      <c r="D1078" s="487" t="s">
        <v>1064</v>
      </c>
      <c r="E1078" s="491">
        <v>300000</v>
      </c>
      <c r="F1078" s="491">
        <v>300000</v>
      </c>
    </row>
    <row r="1079" spans="1:5" ht="15" customHeight="1">
      <c r="A1079" s="465"/>
      <c r="B1079" s="465"/>
      <c r="C1079" s="460">
        <v>2211100</v>
      </c>
      <c r="D1079" s="486" t="s">
        <v>1067</v>
      </c>
      <c r="E1079" s="462">
        <f>E1080+E1081</f>
        <v>1800000</v>
      </c>
    </row>
    <row r="1080" spans="1:6" ht="15" customHeight="1">
      <c r="A1080" s="465"/>
      <c r="B1080" s="465"/>
      <c r="C1080" s="459">
        <v>2211101</v>
      </c>
      <c r="D1080" s="487" t="s">
        <v>1135</v>
      </c>
      <c r="E1080" s="461">
        <v>1500000</v>
      </c>
      <c r="F1080" s="461">
        <v>1500000</v>
      </c>
    </row>
    <row r="1081" spans="1:6" ht="15" customHeight="1">
      <c r="A1081" s="465"/>
      <c r="B1081" s="465"/>
      <c r="C1081" s="459">
        <v>2211103</v>
      </c>
      <c r="D1081" s="487" t="s">
        <v>1070</v>
      </c>
      <c r="E1081" s="491">
        <v>300000</v>
      </c>
      <c r="F1081" s="491">
        <v>300000</v>
      </c>
    </row>
    <row r="1082" spans="1:5" ht="15" customHeight="1">
      <c r="A1082" s="465"/>
      <c r="B1082" s="465"/>
      <c r="C1082" s="460">
        <v>2211200</v>
      </c>
      <c r="D1082" s="486" t="s">
        <v>1071</v>
      </c>
      <c r="E1082" s="462">
        <f>SUM(E1083)</f>
        <v>6000000</v>
      </c>
    </row>
    <row r="1083" spans="1:6" ht="15" customHeight="1">
      <c r="A1083" s="465"/>
      <c r="B1083" s="465"/>
      <c r="C1083" s="459">
        <v>2211201</v>
      </c>
      <c r="D1083" s="487" t="s">
        <v>1072</v>
      </c>
      <c r="E1083" s="491">
        <v>6000000</v>
      </c>
      <c r="F1083" s="491">
        <v>6000000</v>
      </c>
    </row>
    <row r="1084" spans="1:5" ht="15" customHeight="1">
      <c r="A1084" s="465"/>
      <c r="B1084" s="465"/>
      <c r="C1084" s="460">
        <v>2211300</v>
      </c>
      <c r="D1084" s="486" t="s">
        <v>1074</v>
      </c>
      <c r="E1084" s="462">
        <f>SUM(E1085:E1088)</f>
        <v>1700000</v>
      </c>
    </row>
    <row r="1085" spans="1:5" ht="15" customHeight="1">
      <c r="A1085" s="465"/>
      <c r="B1085" s="465"/>
      <c r="C1085" s="477">
        <v>2211301</v>
      </c>
      <c r="D1085" s="487" t="s">
        <v>1075</v>
      </c>
      <c r="E1085" s="491">
        <v>0</v>
      </c>
    </row>
    <row r="1086" spans="1:6" ht="15" customHeight="1">
      <c r="A1086" s="465"/>
      <c r="B1086" s="465"/>
      <c r="C1086" s="477">
        <v>2211310</v>
      </c>
      <c r="D1086" s="487" t="s">
        <v>1137</v>
      </c>
      <c r="E1086" s="491">
        <v>1500000</v>
      </c>
      <c r="F1086" s="491">
        <v>1500000</v>
      </c>
    </row>
    <row r="1087" spans="1:6" ht="15" customHeight="1">
      <c r="A1087" s="465"/>
      <c r="B1087" s="465"/>
      <c r="C1087" s="477">
        <v>2211313</v>
      </c>
      <c r="D1087" s="487" t="s">
        <v>1082</v>
      </c>
      <c r="E1087" s="491">
        <v>200000</v>
      </c>
      <c r="F1087" s="491">
        <v>200000</v>
      </c>
    </row>
    <row r="1088" spans="1:8" ht="15" customHeight="1">
      <c r="A1088" s="465"/>
      <c r="B1088" s="465"/>
      <c r="C1088" s="477">
        <v>2211399</v>
      </c>
      <c r="D1088" s="487" t="s">
        <v>1074</v>
      </c>
      <c r="E1088" s="491">
        <v>0</v>
      </c>
      <c r="H1088" s="491">
        <v>3500000</v>
      </c>
    </row>
    <row r="1089" spans="1:5" ht="15" customHeight="1">
      <c r="A1089" s="465"/>
      <c r="B1089" s="465"/>
      <c r="C1089" s="460">
        <v>2220100</v>
      </c>
      <c r="D1089" s="486" t="s">
        <v>1163</v>
      </c>
      <c r="E1089" s="462">
        <f>E1090</f>
        <v>3000000</v>
      </c>
    </row>
    <row r="1090" spans="1:6" ht="15" customHeight="1">
      <c r="A1090" s="465"/>
      <c r="B1090" s="465"/>
      <c r="C1090" s="459">
        <v>2220101</v>
      </c>
      <c r="D1090" s="487" t="s">
        <v>1138</v>
      </c>
      <c r="E1090" s="491">
        <v>3000000</v>
      </c>
      <c r="F1090" s="491">
        <v>3000000</v>
      </c>
    </row>
    <row r="1091" spans="1:5" ht="15" customHeight="1">
      <c r="A1091" s="465"/>
      <c r="B1091" s="465"/>
      <c r="C1091" s="460">
        <v>2220200</v>
      </c>
      <c r="D1091" s="486" t="s">
        <v>1088</v>
      </c>
      <c r="E1091" s="462">
        <f>E1092+E1093+E1094+E1095</f>
        <v>6500000</v>
      </c>
    </row>
    <row r="1092" spans="1:6" ht="15" customHeight="1">
      <c r="A1092" s="465"/>
      <c r="B1092" s="465"/>
      <c r="C1092" s="459">
        <v>2220201</v>
      </c>
      <c r="D1092" s="487" t="s">
        <v>1089</v>
      </c>
      <c r="E1092" s="491">
        <v>5000000</v>
      </c>
      <c r="F1092" s="491">
        <v>8500000</v>
      </c>
    </row>
    <row r="1093" spans="1:6" ht="15" customHeight="1">
      <c r="A1093" s="465"/>
      <c r="B1093" s="465"/>
      <c r="C1093" s="459">
        <v>2220205</v>
      </c>
      <c r="D1093" s="487" t="s">
        <v>1090</v>
      </c>
      <c r="E1093" s="491">
        <v>1000000</v>
      </c>
      <c r="F1093" s="491">
        <v>1000000</v>
      </c>
    </row>
    <row r="1094" spans="1:7" ht="15" customHeight="1">
      <c r="A1094" s="465"/>
      <c r="B1094" s="465"/>
      <c r="C1094" s="459">
        <v>2220207</v>
      </c>
      <c r="D1094" s="487" t="s">
        <v>1092</v>
      </c>
      <c r="E1094" s="491">
        <v>0</v>
      </c>
      <c r="G1094" s="491">
        <v>35000000</v>
      </c>
    </row>
    <row r="1095" spans="1:6" ht="15" customHeight="1">
      <c r="A1095" s="465"/>
      <c r="B1095" s="465"/>
      <c r="C1095" s="459">
        <v>2220210</v>
      </c>
      <c r="D1095" s="487" t="s">
        <v>1093</v>
      </c>
      <c r="E1095" s="491">
        <v>500000</v>
      </c>
      <c r="F1095" s="491">
        <v>500000</v>
      </c>
    </row>
    <row r="1096" spans="1:5" ht="15" customHeight="1">
      <c r="A1096" s="465"/>
      <c r="B1096" s="465"/>
      <c r="C1096" s="460">
        <v>3110300</v>
      </c>
      <c r="D1096" s="486" t="s">
        <v>1103</v>
      </c>
      <c r="E1096" s="462">
        <f>E1097+E1098</f>
        <v>0</v>
      </c>
    </row>
    <row r="1097" spans="1:5" ht="15" customHeight="1">
      <c r="A1097" s="465"/>
      <c r="B1097" s="465"/>
      <c r="C1097" s="459">
        <v>3110301</v>
      </c>
      <c r="D1097" s="487" t="s">
        <v>1233</v>
      </c>
      <c r="E1097" s="461"/>
    </row>
    <row r="1098" spans="1:5" ht="15" customHeight="1">
      <c r="A1098" s="465"/>
      <c r="B1098" s="465"/>
      <c r="C1098" s="459">
        <v>3110302</v>
      </c>
      <c r="D1098" s="487" t="s">
        <v>1105</v>
      </c>
      <c r="E1098" s="491">
        <v>0</v>
      </c>
    </row>
    <row r="1099" spans="1:5" ht="15" customHeight="1">
      <c r="A1099" s="465"/>
      <c r="B1099" s="465"/>
      <c r="C1099" s="460">
        <v>3110700</v>
      </c>
      <c r="D1099" s="486" t="s">
        <v>1108</v>
      </c>
      <c r="E1099" s="462">
        <f>E1100</f>
        <v>0</v>
      </c>
    </row>
    <row r="1100" spans="1:5" ht="15" customHeight="1">
      <c r="A1100" s="465"/>
      <c r="B1100" s="465"/>
      <c r="C1100" s="459">
        <v>3110701</v>
      </c>
      <c r="D1100" s="487" t="s">
        <v>1109</v>
      </c>
      <c r="E1100" s="491">
        <v>0</v>
      </c>
    </row>
    <row r="1101" spans="1:5" ht="15" customHeight="1">
      <c r="A1101" s="465"/>
      <c r="B1101" s="465"/>
      <c r="C1101" s="460">
        <v>3111000</v>
      </c>
      <c r="D1101" s="486" t="s">
        <v>1110</v>
      </c>
      <c r="E1101" s="462">
        <f>E1102+E1103</f>
        <v>0</v>
      </c>
    </row>
    <row r="1102" spans="1:5" ht="15" customHeight="1">
      <c r="A1102" s="465"/>
      <c r="B1102" s="465"/>
      <c r="C1102" s="459">
        <v>3111101</v>
      </c>
      <c r="D1102" s="487" t="s">
        <v>1111</v>
      </c>
      <c r="E1102" s="491">
        <v>0</v>
      </c>
    </row>
    <row r="1103" spans="1:5" ht="15" customHeight="1">
      <c r="A1103" s="465"/>
      <c r="B1103" s="465"/>
      <c r="C1103" s="459">
        <v>3111002</v>
      </c>
      <c r="D1103" s="487" t="s">
        <v>1172</v>
      </c>
      <c r="E1103" s="491">
        <v>0</v>
      </c>
    </row>
    <row r="1104" spans="1:5" ht="15" customHeight="1">
      <c r="A1104" s="465"/>
      <c r="B1104" s="465"/>
      <c r="C1104" s="460">
        <v>3111400</v>
      </c>
      <c r="D1104" s="486" t="s">
        <v>1119</v>
      </c>
      <c r="E1104" s="462">
        <f>E1105</f>
        <v>500000</v>
      </c>
    </row>
    <row r="1105" spans="1:6" ht="15" customHeight="1">
      <c r="A1105" s="465"/>
      <c r="B1105" s="465"/>
      <c r="C1105" s="459">
        <v>3111401</v>
      </c>
      <c r="D1105" s="487" t="s">
        <v>1115</v>
      </c>
      <c r="E1105" s="491">
        <v>500000</v>
      </c>
      <c r="F1105" s="491">
        <v>500000</v>
      </c>
    </row>
    <row r="1106" spans="1:5" ht="15" customHeight="1">
      <c r="A1106" s="465"/>
      <c r="B1106" s="1394" t="s">
        <v>1254</v>
      </c>
      <c r="C1106" s="1395"/>
      <c r="D1106" s="1396"/>
      <c r="E1106" s="517">
        <f>E1104+E1101+E1096+E1099+E1091+E1089+E1084+E1082+E1079+E1076+E1074+E1071+E1069+E1063+E1059+E1056+E1053+E1050+E1048+E1067</f>
        <v>70566233.0252</v>
      </c>
    </row>
    <row r="1107" spans="1:7" ht="15" customHeight="1">
      <c r="A1107" s="524"/>
      <c r="B1107" s="525"/>
      <c r="C1107" s="525"/>
      <c r="D1107" s="526" t="s">
        <v>1255</v>
      </c>
      <c r="E1107" s="887">
        <v>0</v>
      </c>
      <c r="G1107" s="491">
        <v>86036213</v>
      </c>
    </row>
    <row r="1108" spans="1:8" ht="15" customHeight="1">
      <c r="A1108" s="524"/>
      <c r="B1108" s="1401" t="s">
        <v>1256</v>
      </c>
      <c r="C1108" s="1401"/>
      <c r="D1108" s="1401"/>
      <c r="E1108" s="490">
        <f>E1107</f>
        <v>0</v>
      </c>
      <c r="F1108" s="626">
        <f>SUM(F1049:F1107)</f>
        <v>67318676.08</v>
      </c>
      <c r="G1108" s="626">
        <f>SUM(G1049:G1107)</f>
        <v>121036213</v>
      </c>
      <c r="H1108" s="626">
        <f>SUM(H1049:H1107)</f>
        <v>3500000</v>
      </c>
    </row>
    <row r="1109" spans="1:5" ht="15" customHeight="1">
      <c r="A1109" s="523"/>
      <c r="B1109" s="1394" t="s">
        <v>1144</v>
      </c>
      <c r="C1109" s="1395"/>
      <c r="D1109" s="1396"/>
      <c r="E1109" s="888">
        <f>SUM(E1108,E1106)</f>
        <v>70566233.0252</v>
      </c>
    </row>
    <row r="1110" spans="1:5" ht="15" customHeight="1">
      <c r="A1110" s="1378"/>
      <c r="B1110" s="1379"/>
      <c r="C1110" s="1379"/>
      <c r="D1110" s="1379"/>
      <c r="E1110" s="1380"/>
    </row>
    <row r="1111" spans="1:5" ht="15" customHeight="1">
      <c r="A1111" s="1390"/>
      <c r="B1111" s="1391"/>
      <c r="C1111" s="1391"/>
      <c r="D1111" s="1391"/>
      <c r="E1111" s="1392"/>
    </row>
    <row r="1112" spans="1:5" ht="15" customHeight="1">
      <c r="A1112" s="1356" t="s">
        <v>1120</v>
      </c>
      <c r="B1112" s="1357"/>
      <c r="C1112" s="1357"/>
      <c r="D1112" s="1357"/>
      <c r="E1112" s="1357"/>
    </row>
    <row r="1113" spans="1:5" ht="15" customHeight="1">
      <c r="A1113" s="1353" t="s">
        <v>1431</v>
      </c>
      <c r="B1113" s="1354"/>
      <c r="C1113" s="1354"/>
      <c r="D1113" s="1354"/>
      <c r="E1113" s="1354"/>
    </row>
    <row r="1114" spans="1:5" ht="15" customHeight="1">
      <c r="A1114" s="1358" t="s">
        <v>1244</v>
      </c>
      <c r="B1114" s="1359"/>
      <c r="C1114" s="1359"/>
      <c r="D1114" s="1359"/>
      <c r="E1114" s="1359"/>
    </row>
    <row r="1115" spans="1:5" ht="31.5">
      <c r="A1115" s="479" t="s">
        <v>1122</v>
      </c>
      <c r="B1115" s="465"/>
      <c r="C1115" s="478" t="s">
        <v>998</v>
      </c>
      <c r="D1115" s="486" t="s">
        <v>997</v>
      </c>
      <c r="E1115" s="515" t="s">
        <v>1432</v>
      </c>
    </row>
    <row r="1116" spans="1:5" ht="15" customHeight="1">
      <c r="A1116" s="465"/>
      <c r="B1116" s="467" t="s">
        <v>1123</v>
      </c>
      <c r="C1116" s="503">
        <v>2110100</v>
      </c>
      <c r="D1116" s="504" t="s">
        <v>999</v>
      </c>
      <c r="E1116" s="482">
        <f>SUM(E1117)</f>
        <v>67565048.1722</v>
      </c>
    </row>
    <row r="1117" spans="1:5" ht="15" customHeight="1">
      <c r="A1117" s="465"/>
      <c r="B1117" s="465"/>
      <c r="C1117" s="460">
        <v>2110116</v>
      </c>
      <c r="D1117" s="486" t="s">
        <v>1000</v>
      </c>
      <c r="E1117" s="483">
        <f>('[5]salaries and allowances'!$P$165)*1.065+7976573</f>
        <v>67565048.1722</v>
      </c>
    </row>
    <row r="1118" spans="1:5" ht="15" customHeight="1">
      <c r="A1118" s="465"/>
      <c r="B1118" s="465"/>
      <c r="C1118" s="460">
        <v>2110200</v>
      </c>
      <c r="D1118" s="487" t="s">
        <v>1001</v>
      </c>
      <c r="E1118" s="500">
        <v>0</v>
      </c>
    </row>
    <row r="1119" spans="1:5" ht="15" customHeight="1">
      <c r="A1119" s="465"/>
      <c r="B1119" s="465"/>
      <c r="C1119" s="459">
        <v>2110202</v>
      </c>
      <c r="D1119" s="487" t="s">
        <v>1002</v>
      </c>
      <c r="E1119" s="500"/>
    </row>
    <row r="1120" spans="1:5" ht="15" customHeight="1">
      <c r="A1120" s="465"/>
      <c r="B1120" s="465"/>
      <c r="C1120" s="460">
        <v>2110300</v>
      </c>
      <c r="D1120" s="486" t="s">
        <v>1003</v>
      </c>
      <c r="E1120" s="484">
        <v>0</v>
      </c>
    </row>
    <row r="1121" spans="1:5" ht="15" customHeight="1">
      <c r="A1121" s="465"/>
      <c r="B1121" s="465"/>
      <c r="C1121" s="459">
        <v>2110301</v>
      </c>
      <c r="D1121" s="487" t="s">
        <v>1004</v>
      </c>
      <c r="E1121" s="500"/>
    </row>
    <row r="1122" spans="1:5" ht="15" customHeight="1">
      <c r="A1122" s="465"/>
      <c r="B1122" s="465"/>
      <c r="C1122" s="459">
        <v>2110302</v>
      </c>
      <c r="D1122" s="487" t="s">
        <v>1005</v>
      </c>
      <c r="E1122" s="500"/>
    </row>
    <row r="1123" spans="1:5" ht="15" customHeight="1">
      <c r="A1123" s="465"/>
      <c r="B1123" s="465"/>
      <c r="C1123" s="460">
        <v>2110303</v>
      </c>
      <c r="D1123" s="486" t="s">
        <v>1006</v>
      </c>
      <c r="E1123" s="484"/>
    </row>
    <row r="1124" spans="1:5" ht="15" customHeight="1">
      <c r="A1124" s="465"/>
      <c r="B1124" s="465"/>
      <c r="C1124" s="459">
        <v>2110314</v>
      </c>
      <c r="D1124" s="487" t="s">
        <v>1007</v>
      </c>
      <c r="E1124" s="500"/>
    </row>
    <row r="1125" spans="1:5" ht="15" customHeight="1">
      <c r="A1125" s="465"/>
      <c r="B1125" s="465"/>
      <c r="C1125" s="459">
        <v>2110320</v>
      </c>
      <c r="D1125" s="487" t="s">
        <v>1008</v>
      </c>
      <c r="E1125" s="500"/>
    </row>
    <row r="1126" spans="1:5" ht="15" customHeight="1">
      <c r="A1126" s="465"/>
      <c r="B1126" s="465"/>
      <c r="C1126" s="459">
        <v>2110321</v>
      </c>
      <c r="D1126" s="487" t="s">
        <v>1009</v>
      </c>
      <c r="E1126" s="500"/>
    </row>
    <row r="1127" spans="1:5" ht="15" customHeight="1">
      <c r="A1127" s="465"/>
      <c r="B1127" s="465"/>
      <c r="C1127" s="460">
        <v>2110322</v>
      </c>
      <c r="D1127" s="486" t="s">
        <v>1124</v>
      </c>
      <c r="E1127" s="484"/>
    </row>
    <row r="1128" spans="1:5" ht="15" customHeight="1">
      <c r="A1128" s="465"/>
      <c r="B1128" s="465"/>
      <c r="C1128" s="459">
        <v>2110333</v>
      </c>
      <c r="D1128" s="487" t="s">
        <v>1011</v>
      </c>
      <c r="E1128" s="500"/>
    </row>
    <row r="1129" spans="1:5" ht="15" customHeight="1">
      <c r="A1129" s="465"/>
      <c r="B1129" s="465"/>
      <c r="C1129" s="460">
        <v>2120100</v>
      </c>
      <c r="D1129" s="486" t="s">
        <v>1012</v>
      </c>
      <c r="E1129" s="500">
        <v>0</v>
      </c>
    </row>
    <row r="1130" spans="1:5" ht="15" customHeight="1">
      <c r="A1130" s="465"/>
      <c r="B1130" s="465"/>
      <c r="C1130" s="459">
        <v>2120101</v>
      </c>
      <c r="D1130" s="487" t="s">
        <v>1013</v>
      </c>
      <c r="E1130" s="500"/>
    </row>
    <row r="1131" spans="1:5" ht="15" customHeight="1">
      <c r="A1131" s="465"/>
      <c r="B1131" s="465"/>
      <c r="C1131" s="459">
        <v>2120103</v>
      </c>
      <c r="D1131" s="487" t="s">
        <v>1126</v>
      </c>
      <c r="E1131" s="484"/>
    </row>
    <row r="1132" spans="1:5" ht="15" customHeight="1">
      <c r="A1132" s="465"/>
      <c r="B1132" s="465"/>
      <c r="C1132" s="460">
        <v>2210100</v>
      </c>
      <c r="D1132" s="486" t="s">
        <v>1015</v>
      </c>
      <c r="E1132" s="501">
        <f>E1133+E1134+E1135</f>
        <v>6000000</v>
      </c>
    </row>
    <row r="1133" spans="1:5" ht="15" customHeight="1">
      <c r="A1133" s="465"/>
      <c r="B1133" s="465"/>
      <c r="C1133" s="459">
        <v>2210101</v>
      </c>
      <c r="D1133" s="487" t="s">
        <v>1016</v>
      </c>
      <c r="E1133" s="500">
        <v>4500000</v>
      </c>
    </row>
    <row r="1134" spans="1:5" ht="15" customHeight="1">
      <c r="A1134" s="465"/>
      <c r="B1134" s="465"/>
      <c r="C1134" s="459">
        <v>2210102</v>
      </c>
      <c r="D1134" s="487" t="s">
        <v>1017</v>
      </c>
      <c r="E1134" s="500">
        <v>500000</v>
      </c>
    </row>
    <row r="1135" spans="1:5" ht="15" customHeight="1">
      <c r="A1135" s="465"/>
      <c r="B1135" s="465"/>
      <c r="C1135" s="459">
        <v>2210106</v>
      </c>
      <c r="D1135" s="487" t="s">
        <v>1234</v>
      </c>
      <c r="E1135" s="500">
        <v>1000000</v>
      </c>
    </row>
    <row r="1136" spans="1:5" ht="15" customHeight="1">
      <c r="A1136" s="465"/>
      <c r="B1136" s="465"/>
      <c r="C1136" s="460">
        <v>2210200</v>
      </c>
      <c r="D1136" s="486" t="s">
        <v>1019</v>
      </c>
      <c r="E1136" s="501">
        <f>E1137+E1138+E1139</f>
        <v>1500000</v>
      </c>
    </row>
    <row r="1137" spans="1:5" ht="15" customHeight="1">
      <c r="A1137" s="465"/>
      <c r="B1137" s="465"/>
      <c r="C1137" s="459">
        <v>2210201</v>
      </c>
      <c r="D1137" s="487" t="s">
        <v>1020</v>
      </c>
      <c r="E1137" s="500">
        <v>1000000</v>
      </c>
    </row>
    <row r="1138" spans="1:5" ht="15" customHeight="1">
      <c r="A1138" s="465"/>
      <c r="B1138" s="465"/>
      <c r="C1138" s="459">
        <v>2210202</v>
      </c>
      <c r="D1138" s="487" t="s">
        <v>1021</v>
      </c>
      <c r="E1138" s="502">
        <v>500000</v>
      </c>
    </row>
    <row r="1139" spans="1:5" ht="15" customHeight="1">
      <c r="A1139" s="465"/>
      <c r="B1139" s="465"/>
      <c r="C1139" s="459">
        <v>2210206</v>
      </c>
      <c r="D1139" s="487" t="s">
        <v>1022</v>
      </c>
      <c r="E1139" s="500">
        <v>0</v>
      </c>
    </row>
    <row r="1140" spans="1:5" ht="15" customHeight="1">
      <c r="A1140" s="465"/>
      <c r="B1140" s="465"/>
      <c r="C1140" s="460">
        <v>2210300</v>
      </c>
      <c r="D1140" s="486" t="s">
        <v>1023</v>
      </c>
      <c r="E1140" s="484">
        <f>E1141+E1142+E1143</f>
        <v>5000000</v>
      </c>
    </row>
    <row r="1141" spans="1:5" ht="15" customHeight="1">
      <c r="A1141" s="465"/>
      <c r="B1141" s="465"/>
      <c r="C1141" s="459">
        <v>2210301</v>
      </c>
      <c r="D1141" s="487" t="s">
        <v>1024</v>
      </c>
      <c r="E1141" s="500">
        <v>2000000</v>
      </c>
    </row>
    <row r="1142" spans="1:5" ht="15" customHeight="1">
      <c r="A1142" s="465"/>
      <c r="B1142" s="465"/>
      <c r="C1142" s="459">
        <v>2210302</v>
      </c>
      <c r="D1142" s="487" t="s">
        <v>1025</v>
      </c>
      <c r="E1142" s="500">
        <v>1000000</v>
      </c>
    </row>
    <row r="1143" spans="1:5" ht="15" customHeight="1">
      <c r="A1143" s="465"/>
      <c r="B1143" s="465"/>
      <c r="C1143" s="459">
        <v>2210303</v>
      </c>
      <c r="D1143" s="487" t="s">
        <v>1026</v>
      </c>
      <c r="E1143" s="502">
        <v>2000000</v>
      </c>
    </row>
    <row r="1144" spans="1:5" ht="15" customHeight="1">
      <c r="A1144" s="465"/>
      <c r="B1144" s="465"/>
      <c r="C1144" s="460">
        <v>2210400</v>
      </c>
      <c r="D1144" s="486" t="s">
        <v>1127</v>
      </c>
      <c r="E1144" s="501">
        <f>E1145+E1146+E1147+E1148</f>
        <v>1500000</v>
      </c>
    </row>
    <row r="1145" spans="1:5" ht="15" customHeight="1">
      <c r="A1145" s="465"/>
      <c r="B1145" s="465"/>
      <c r="C1145" s="459">
        <v>2210401</v>
      </c>
      <c r="D1145" s="487" t="s">
        <v>1024</v>
      </c>
      <c r="E1145" s="502">
        <v>500000</v>
      </c>
    </row>
    <row r="1146" spans="1:5" ht="15" customHeight="1">
      <c r="A1146" s="465"/>
      <c r="B1146" s="465"/>
      <c r="C1146" s="459">
        <v>2210402</v>
      </c>
      <c r="D1146" s="487" t="s">
        <v>1128</v>
      </c>
      <c r="E1146" s="500">
        <v>500000</v>
      </c>
    </row>
    <row r="1147" spans="1:5" ht="15" customHeight="1">
      <c r="A1147" s="465"/>
      <c r="B1147" s="465"/>
      <c r="C1147" s="459">
        <v>2210403</v>
      </c>
      <c r="D1147" s="487" t="s">
        <v>1129</v>
      </c>
      <c r="E1147" s="500">
        <v>500000</v>
      </c>
    </row>
    <row r="1148" spans="1:5" ht="15" customHeight="1">
      <c r="A1148" s="465"/>
      <c r="B1148" s="465"/>
      <c r="C1148" s="459">
        <v>2210404</v>
      </c>
      <c r="D1148" s="487" t="s">
        <v>1130</v>
      </c>
      <c r="E1148" s="502">
        <v>0</v>
      </c>
    </row>
    <row r="1149" spans="1:5" ht="15" customHeight="1">
      <c r="A1149" s="465"/>
      <c r="B1149" s="465"/>
      <c r="C1149" s="460">
        <v>2210500</v>
      </c>
      <c r="D1149" s="486" t="s">
        <v>1029</v>
      </c>
      <c r="E1149" s="484">
        <f>E1150+E1151+E1152</f>
        <v>2100000</v>
      </c>
    </row>
    <row r="1150" spans="1:5" ht="15" customHeight="1">
      <c r="A1150" s="465"/>
      <c r="B1150" s="465"/>
      <c r="C1150" s="459">
        <v>2210502</v>
      </c>
      <c r="D1150" s="487" t="s">
        <v>1030</v>
      </c>
      <c r="E1150" s="500">
        <v>800000</v>
      </c>
    </row>
    <row r="1151" spans="1:5" ht="15" customHeight="1">
      <c r="A1151" s="465"/>
      <c r="B1151" s="465"/>
      <c r="C1151" s="460">
        <v>2210503</v>
      </c>
      <c r="D1151" s="487" t="s">
        <v>1031</v>
      </c>
      <c r="E1151" s="502">
        <v>300000</v>
      </c>
    </row>
    <row r="1152" spans="1:5" ht="15" customHeight="1">
      <c r="A1152" s="465"/>
      <c r="B1152" s="465"/>
      <c r="C1152" s="459">
        <v>2210504</v>
      </c>
      <c r="D1152" s="487" t="s">
        <v>1032</v>
      </c>
      <c r="E1152" s="500">
        <v>1000000</v>
      </c>
    </row>
    <row r="1153" spans="1:5" ht="15" customHeight="1">
      <c r="A1153" s="465"/>
      <c r="B1153" s="465"/>
      <c r="C1153" s="460">
        <v>2210505</v>
      </c>
      <c r="D1153" s="486" t="s">
        <v>1033</v>
      </c>
      <c r="E1153" s="484">
        <v>0</v>
      </c>
    </row>
    <row r="1154" spans="1:5" ht="15" customHeight="1">
      <c r="A1154" s="465"/>
      <c r="B1154" s="465"/>
      <c r="C1154" s="477">
        <v>2210599</v>
      </c>
      <c r="D1154" s="487" t="s">
        <v>1034</v>
      </c>
      <c r="E1154" s="500"/>
    </row>
    <row r="1155" spans="1:5" ht="15" customHeight="1">
      <c r="A1155" s="465"/>
      <c r="B1155" s="465"/>
      <c r="C1155" s="478">
        <v>2210600</v>
      </c>
      <c r="D1155" s="486" t="s">
        <v>1035</v>
      </c>
      <c r="E1155" s="501">
        <f>SUM(E1158)</f>
        <v>1000000</v>
      </c>
    </row>
    <row r="1156" spans="1:5" ht="15" customHeight="1">
      <c r="A1156" s="465"/>
      <c r="B1156" s="465"/>
      <c r="C1156" s="477">
        <v>2210602</v>
      </c>
      <c r="D1156" s="487" t="s">
        <v>1036</v>
      </c>
      <c r="E1156" s="500"/>
    </row>
    <row r="1157" spans="1:5" ht="15" customHeight="1">
      <c r="A1157" s="465"/>
      <c r="B1157" s="465"/>
      <c r="C1157" s="459">
        <v>2210603</v>
      </c>
      <c r="D1157" s="487" t="s">
        <v>1037</v>
      </c>
      <c r="E1157" s="484"/>
    </row>
    <row r="1158" spans="1:5" ht="15" customHeight="1">
      <c r="A1158" s="465"/>
      <c r="B1158" s="465"/>
      <c r="C1158" s="459">
        <v>2210604</v>
      </c>
      <c r="D1158" s="487" t="s">
        <v>1038</v>
      </c>
      <c r="E1158" s="502">
        <v>1000000</v>
      </c>
    </row>
    <row r="1159" spans="1:5" ht="15" customHeight="1">
      <c r="A1159" s="465"/>
      <c r="B1159" s="465"/>
      <c r="C1159" s="460">
        <v>2210700</v>
      </c>
      <c r="D1159" s="486" t="s">
        <v>1048</v>
      </c>
      <c r="E1159" s="482">
        <f>E1161+E1162+E1163+E1164+E1165+E1166+E1167+E1168</f>
        <v>2000000</v>
      </c>
    </row>
    <row r="1160" spans="1:5" ht="15" customHeight="1">
      <c r="A1160" s="465"/>
      <c r="B1160" s="465"/>
      <c r="C1160" s="459">
        <v>2210701</v>
      </c>
      <c r="D1160" s="487" t="s">
        <v>1040</v>
      </c>
      <c r="E1160" s="502"/>
    </row>
    <row r="1161" spans="1:5" ht="15" customHeight="1">
      <c r="A1161" s="465"/>
      <c r="B1161" s="465"/>
      <c r="C1161" s="459">
        <v>2210702</v>
      </c>
      <c r="D1161" s="487" t="s">
        <v>1041</v>
      </c>
      <c r="E1161" s="502">
        <v>0</v>
      </c>
    </row>
    <row r="1162" spans="1:5" ht="15" customHeight="1">
      <c r="A1162" s="465"/>
      <c r="B1162" s="465"/>
      <c r="C1162" s="459">
        <v>2210703</v>
      </c>
      <c r="D1162" s="487" t="s">
        <v>1042</v>
      </c>
      <c r="E1162" s="502">
        <v>200000</v>
      </c>
    </row>
    <row r="1163" spans="1:5" ht="15" customHeight="1">
      <c r="A1163" s="465"/>
      <c r="B1163" s="465"/>
      <c r="C1163" s="459">
        <v>2210704</v>
      </c>
      <c r="D1163" s="487" t="s">
        <v>1043</v>
      </c>
      <c r="E1163" s="502">
        <v>600000</v>
      </c>
    </row>
    <row r="1164" spans="1:5" ht="15" customHeight="1">
      <c r="A1164" s="465"/>
      <c r="B1164" s="465"/>
      <c r="C1164" s="459">
        <v>2210710</v>
      </c>
      <c r="D1164" s="487" t="s">
        <v>1044</v>
      </c>
      <c r="E1164" s="502">
        <v>500000</v>
      </c>
    </row>
    <row r="1165" spans="1:5" ht="15" customHeight="1">
      <c r="A1165" s="465"/>
      <c r="B1165" s="465"/>
      <c r="C1165" s="459">
        <v>2210711</v>
      </c>
      <c r="D1165" s="487" t="s">
        <v>1045</v>
      </c>
      <c r="E1165" s="502">
        <v>0</v>
      </c>
    </row>
    <row r="1166" spans="1:5" ht="15" customHeight="1">
      <c r="A1166" s="465"/>
      <c r="B1166" s="465"/>
      <c r="C1166" s="459">
        <v>2210713</v>
      </c>
      <c r="D1166" s="487" t="s">
        <v>1046</v>
      </c>
      <c r="E1166" s="484"/>
    </row>
    <row r="1167" spans="1:5" ht="15" customHeight="1">
      <c r="A1167" s="465"/>
      <c r="B1167" s="465"/>
      <c r="C1167" s="459">
        <v>2210716</v>
      </c>
      <c r="D1167" s="487" t="s">
        <v>1047</v>
      </c>
      <c r="E1167" s="484"/>
    </row>
    <row r="1168" spans="1:5" ht="15" customHeight="1">
      <c r="A1168" s="465"/>
      <c r="B1168" s="465"/>
      <c r="C1168" s="459">
        <v>2210799</v>
      </c>
      <c r="D1168" s="487" t="s">
        <v>1039</v>
      </c>
      <c r="E1168" s="502">
        <v>700000</v>
      </c>
    </row>
    <row r="1169" spans="1:5" ht="15" customHeight="1">
      <c r="A1169" s="465"/>
      <c r="B1169" s="465"/>
      <c r="C1169" s="460">
        <v>2210800</v>
      </c>
      <c r="D1169" s="486" t="s">
        <v>1049</v>
      </c>
      <c r="E1169" s="484">
        <f>E1170+E1171</f>
        <v>2000000</v>
      </c>
    </row>
    <row r="1170" spans="1:5" ht="15" customHeight="1">
      <c r="A1170" s="465"/>
      <c r="B1170" s="465"/>
      <c r="C1170" s="459">
        <v>2210801</v>
      </c>
      <c r="D1170" s="487" t="s">
        <v>1050</v>
      </c>
      <c r="E1170" s="502">
        <v>1000000</v>
      </c>
    </row>
    <row r="1171" spans="1:5" ht="15" customHeight="1">
      <c r="A1171" s="465"/>
      <c r="B1171" s="465"/>
      <c r="C1171" s="459">
        <v>2210802</v>
      </c>
      <c r="D1171" s="487" t="s">
        <v>1131</v>
      </c>
      <c r="E1171" s="502">
        <v>1000000</v>
      </c>
    </row>
    <row r="1172" spans="1:5" ht="15" customHeight="1">
      <c r="A1172" s="465"/>
      <c r="B1172" s="465"/>
      <c r="C1172" s="460">
        <v>2210900</v>
      </c>
      <c r="D1172" s="486" t="s">
        <v>1052</v>
      </c>
      <c r="E1172" s="484">
        <v>0</v>
      </c>
    </row>
    <row r="1173" spans="1:5" ht="15" customHeight="1">
      <c r="A1173" s="465"/>
      <c r="B1173" s="465"/>
      <c r="C1173" s="459">
        <v>2210901</v>
      </c>
      <c r="D1173" s="487" t="s">
        <v>1053</v>
      </c>
      <c r="E1173" s="502"/>
    </row>
    <row r="1174" spans="1:5" ht="15" customHeight="1">
      <c r="A1174" s="465"/>
      <c r="B1174" s="465"/>
      <c r="C1174" s="459">
        <v>2210902</v>
      </c>
      <c r="D1174" s="487" t="s">
        <v>1054</v>
      </c>
      <c r="E1174" s="502"/>
    </row>
    <row r="1175" spans="1:5" ht="15" customHeight="1">
      <c r="A1175" s="465"/>
      <c r="B1175" s="465"/>
      <c r="C1175" s="459">
        <v>2210904</v>
      </c>
      <c r="D1175" s="487" t="s">
        <v>1055</v>
      </c>
      <c r="E1175" s="502"/>
    </row>
    <row r="1176" spans="1:5" ht="15" customHeight="1">
      <c r="A1176" s="465"/>
      <c r="B1176" s="465"/>
      <c r="C1176" s="459">
        <v>2210910</v>
      </c>
      <c r="D1176" s="487" t="s">
        <v>1056</v>
      </c>
      <c r="E1176" s="502"/>
    </row>
    <row r="1177" spans="1:5" ht="15" customHeight="1">
      <c r="A1177" s="465"/>
      <c r="B1177" s="465"/>
      <c r="C1177" s="460">
        <v>2211000</v>
      </c>
      <c r="D1177" s="486" t="s">
        <v>1057</v>
      </c>
      <c r="E1177" s="484">
        <f>E1178+E1179+E1180+E1181+E1182+E1183+E1184+E1185+E1186</f>
        <v>2400000</v>
      </c>
    </row>
    <row r="1178" spans="1:5" ht="15" customHeight="1">
      <c r="A1178" s="465"/>
      <c r="B1178" s="465"/>
      <c r="C1178" s="459">
        <v>2211001</v>
      </c>
      <c r="D1178" s="487" t="s">
        <v>1058</v>
      </c>
      <c r="E1178" s="502"/>
    </row>
    <row r="1179" spans="1:5" ht="15" customHeight="1">
      <c r="A1179" s="465"/>
      <c r="B1179" s="465"/>
      <c r="C1179" s="459">
        <v>2211003</v>
      </c>
      <c r="D1179" s="487" t="s">
        <v>1132</v>
      </c>
      <c r="E1179" s="502">
        <v>0</v>
      </c>
    </row>
    <row r="1180" spans="1:5" ht="15" customHeight="1">
      <c r="A1180" s="465"/>
      <c r="B1180" s="465"/>
      <c r="C1180" s="459">
        <v>2211004</v>
      </c>
      <c r="D1180" s="487" t="s">
        <v>1060</v>
      </c>
      <c r="E1180" s="502">
        <v>500000</v>
      </c>
    </row>
    <row r="1181" spans="1:5" ht="15" customHeight="1">
      <c r="A1181" s="465"/>
      <c r="B1181" s="465"/>
      <c r="C1181" s="459">
        <v>2211006</v>
      </c>
      <c r="D1181" s="487" t="s">
        <v>1061</v>
      </c>
      <c r="E1181" s="502">
        <v>1000000</v>
      </c>
    </row>
    <row r="1182" spans="1:5" ht="15" customHeight="1">
      <c r="A1182" s="465"/>
      <c r="B1182" s="465"/>
      <c r="C1182" s="459">
        <v>2211007</v>
      </c>
      <c r="D1182" s="487" t="s">
        <v>1133</v>
      </c>
      <c r="E1182" s="502"/>
    </row>
    <row r="1183" spans="1:5" ht="15" customHeight="1">
      <c r="A1183" s="465"/>
      <c r="B1183" s="465"/>
      <c r="C1183" s="459">
        <v>2211015</v>
      </c>
      <c r="D1183" s="487" t="s">
        <v>1063</v>
      </c>
      <c r="E1183" s="502">
        <v>600000</v>
      </c>
    </row>
    <row r="1184" spans="1:5" ht="15" customHeight="1">
      <c r="A1184" s="465"/>
      <c r="B1184" s="465"/>
      <c r="C1184" s="459">
        <v>2211016</v>
      </c>
      <c r="D1184" s="487" t="s">
        <v>1064</v>
      </c>
      <c r="E1184" s="502">
        <v>300000</v>
      </c>
    </row>
    <row r="1185" spans="1:5" ht="15" customHeight="1">
      <c r="A1185" s="465"/>
      <c r="B1185" s="465"/>
      <c r="C1185" s="459">
        <v>2211023</v>
      </c>
      <c r="D1185" s="487" t="s">
        <v>1065</v>
      </c>
      <c r="E1185" s="502">
        <v>0</v>
      </c>
    </row>
    <row r="1186" spans="1:5" ht="15" customHeight="1">
      <c r="A1186" s="465"/>
      <c r="B1186" s="465"/>
      <c r="C1186" s="460">
        <v>2211026</v>
      </c>
      <c r="D1186" s="486" t="s">
        <v>1134</v>
      </c>
      <c r="E1186" s="484"/>
    </row>
    <row r="1187" spans="1:5" ht="15" customHeight="1">
      <c r="A1187" s="465"/>
      <c r="B1187" s="465"/>
      <c r="C1187" s="460">
        <v>2211100</v>
      </c>
      <c r="D1187" s="486" t="s">
        <v>1067</v>
      </c>
      <c r="E1187" s="484">
        <f>E1188+E1189+E1190</f>
        <v>2198880</v>
      </c>
    </row>
    <row r="1188" spans="1:5" ht="15" customHeight="1">
      <c r="A1188" s="465"/>
      <c r="B1188" s="465"/>
      <c r="C1188" s="459">
        <v>2211101</v>
      </c>
      <c r="D1188" s="487" t="s">
        <v>1135</v>
      </c>
      <c r="E1188" s="502">
        <v>1000000</v>
      </c>
    </row>
    <row r="1189" spans="1:5" ht="15" customHeight="1">
      <c r="A1189" s="465"/>
      <c r="B1189" s="465"/>
      <c r="C1189" s="459">
        <v>2211102</v>
      </c>
      <c r="D1189" s="487" t="s">
        <v>1069</v>
      </c>
      <c r="E1189" s="502">
        <v>548880</v>
      </c>
    </row>
    <row r="1190" spans="1:5" ht="15" customHeight="1">
      <c r="A1190" s="465"/>
      <c r="B1190" s="465"/>
      <c r="C1190" s="459">
        <v>2211103</v>
      </c>
      <c r="D1190" s="487" t="s">
        <v>1070</v>
      </c>
      <c r="E1190" s="502">
        <v>650000</v>
      </c>
    </row>
    <row r="1191" spans="1:5" ht="15" customHeight="1">
      <c r="A1191" s="465"/>
      <c r="B1191" s="465"/>
      <c r="C1191" s="460">
        <v>2211200</v>
      </c>
      <c r="D1191" s="486" t="s">
        <v>1071</v>
      </c>
      <c r="E1191" s="484">
        <f>E1192+E1193</f>
        <v>9000000</v>
      </c>
    </row>
    <row r="1192" spans="1:5" ht="15" customHeight="1">
      <c r="A1192" s="465"/>
      <c r="B1192" s="465"/>
      <c r="C1192" s="460">
        <v>2211201</v>
      </c>
      <c r="D1192" s="487" t="s">
        <v>1072</v>
      </c>
      <c r="E1192" s="502">
        <v>9000000</v>
      </c>
    </row>
    <row r="1193" spans="1:5" ht="15" customHeight="1">
      <c r="A1193" s="465"/>
      <c r="B1193" s="465"/>
      <c r="C1193" s="460">
        <v>2211201</v>
      </c>
      <c r="D1193" s="487" t="s">
        <v>1136</v>
      </c>
      <c r="E1193" s="502">
        <v>0</v>
      </c>
    </row>
    <row r="1194" spans="1:5" ht="15" customHeight="1">
      <c r="A1194" s="465"/>
      <c r="B1194" s="465"/>
      <c r="C1194" s="460">
        <v>2211300</v>
      </c>
      <c r="D1194" s="486" t="s">
        <v>1074</v>
      </c>
      <c r="E1194" s="484">
        <f>E1195+E1196+E1197+E1198+E1199+E1200+E1201+E1202+E1203</f>
        <v>1000000</v>
      </c>
    </row>
    <row r="1195" spans="1:5" ht="15" customHeight="1">
      <c r="A1195" s="465"/>
      <c r="B1195" s="465"/>
      <c r="C1195" s="459">
        <v>2211301</v>
      </c>
      <c r="D1195" s="487" t="s">
        <v>1075</v>
      </c>
      <c r="E1195" s="484"/>
    </row>
    <row r="1196" spans="1:5" ht="15" customHeight="1">
      <c r="A1196" s="465"/>
      <c r="B1196" s="465"/>
      <c r="C1196" s="459">
        <v>2211308</v>
      </c>
      <c r="D1196" s="487" t="s">
        <v>1077</v>
      </c>
      <c r="E1196" s="502"/>
    </row>
    <row r="1197" spans="1:5" ht="15" customHeight="1">
      <c r="A1197" s="465"/>
      <c r="B1197" s="465"/>
      <c r="C1197" s="459">
        <v>2211309</v>
      </c>
      <c r="D1197" s="487" t="s">
        <v>1078</v>
      </c>
      <c r="E1197" s="502"/>
    </row>
    <row r="1198" spans="1:5" ht="15" customHeight="1">
      <c r="A1198" s="465"/>
      <c r="B1198" s="465"/>
      <c r="C1198" s="459">
        <v>2211310</v>
      </c>
      <c r="D1198" s="487" t="s">
        <v>1137</v>
      </c>
      <c r="E1198" s="502">
        <v>1000000</v>
      </c>
    </row>
    <row r="1199" spans="1:5" ht="15" customHeight="1">
      <c r="A1199" s="465"/>
      <c r="B1199" s="465"/>
      <c r="C1199" s="459">
        <v>2211311</v>
      </c>
      <c r="D1199" s="487" t="s">
        <v>1080</v>
      </c>
      <c r="E1199" s="502">
        <v>0</v>
      </c>
    </row>
    <row r="1200" spans="1:5" ht="15" customHeight="1">
      <c r="A1200" s="465"/>
      <c r="B1200" s="465"/>
      <c r="C1200" s="459">
        <v>2211313</v>
      </c>
      <c r="D1200" s="487" t="s">
        <v>1082</v>
      </c>
      <c r="E1200" s="502"/>
    </row>
    <row r="1201" spans="1:5" ht="15" customHeight="1">
      <c r="A1201" s="465"/>
      <c r="B1201" s="465"/>
      <c r="C1201" s="459">
        <v>2211314</v>
      </c>
      <c r="D1201" s="487" t="s">
        <v>1083</v>
      </c>
      <c r="E1201" s="502"/>
    </row>
    <row r="1202" spans="1:5" ht="15" customHeight="1">
      <c r="A1202" s="465"/>
      <c r="B1202" s="465"/>
      <c r="C1202" s="459">
        <v>2211329</v>
      </c>
      <c r="D1202" s="487" t="s">
        <v>1084</v>
      </c>
      <c r="E1202" s="502"/>
    </row>
    <row r="1203" spans="1:5" ht="15" customHeight="1">
      <c r="A1203" s="465"/>
      <c r="B1203" s="465"/>
      <c r="C1203" s="459">
        <v>2211399</v>
      </c>
      <c r="D1203" s="487" t="s">
        <v>1074</v>
      </c>
      <c r="E1203" s="502">
        <v>0</v>
      </c>
    </row>
    <row r="1204" spans="1:5" ht="15" customHeight="1">
      <c r="A1204" s="465"/>
      <c r="B1204" s="465"/>
      <c r="C1204" s="460">
        <v>2220100</v>
      </c>
      <c r="D1204" s="486" t="s">
        <v>1086</v>
      </c>
      <c r="E1204" s="484">
        <f>E1205</f>
        <v>7000000</v>
      </c>
    </row>
    <row r="1205" spans="1:5" ht="15" customHeight="1">
      <c r="A1205" s="465"/>
      <c r="B1205" s="465"/>
      <c r="C1205" s="459">
        <v>2220101</v>
      </c>
      <c r="D1205" s="487" t="s">
        <v>1138</v>
      </c>
      <c r="E1205" s="502">
        <v>7000000</v>
      </c>
    </row>
    <row r="1206" spans="1:5" ht="15" customHeight="1">
      <c r="A1206" s="465"/>
      <c r="B1206" s="465"/>
      <c r="C1206" s="460">
        <v>2220200</v>
      </c>
      <c r="D1206" s="486" t="s">
        <v>1088</v>
      </c>
      <c r="E1206" s="482">
        <f>E1207+E1208+E1209+E1210+E1211+E1212+E1213+E1214</f>
        <v>7150000</v>
      </c>
    </row>
    <row r="1207" spans="1:5" ht="15" customHeight="1">
      <c r="A1207" s="465"/>
      <c r="B1207" s="465"/>
      <c r="C1207" s="459">
        <v>2220201</v>
      </c>
      <c r="D1207" s="487" t="s">
        <v>1089</v>
      </c>
      <c r="E1207" s="502">
        <v>5000000</v>
      </c>
    </row>
    <row r="1208" spans="1:5" ht="15" customHeight="1">
      <c r="A1208" s="465"/>
      <c r="B1208" s="465"/>
      <c r="C1208" s="459">
        <v>2220205</v>
      </c>
      <c r="D1208" s="487" t="s">
        <v>1090</v>
      </c>
      <c r="E1208" s="502">
        <v>1000000</v>
      </c>
    </row>
    <row r="1209" spans="1:5" ht="15" customHeight="1">
      <c r="A1209" s="465"/>
      <c r="B1209" s="465"/>
      <c r="C1209" s="459">
        <v>2220206</v>
      </c>
      <c r="D1209" s="487" t="s">
        <v>1091</v>
      </c>
      <c r="E1209" s="502">
        <v>0</v>
      </c>
    </row>
    <row r="1210" spans="1:5" ht="15" customHeight="1">
      <c r="A1210" s="465"/>
      <c r="B1210" s="465"/>
      <c r="C1210" s="459">
        <v>2220207</v>
      </c>
      <c r="D1210" s="487" t="s">
        <v>1092</v>
      </c>
      <c r="E1210" s="502">
        <v>0</v>
      </c>
    </row>
    <row r="1211" spans="1:5" ht="15" customHeight="1">
      <c r="A1211" s="465"/>
      <c r="B1211" s="465"/>
      <c r="C1211" s="459">
        <v>2220210</v>
      </c>
      <c r="D1211" s="487" t="s">
        <v>1093</v>
      </c>
      <c r="E1211" s="502">
        <v>500000</v>
      </c>
    </row>
    <row r="1212" spans="1:5" ht="15" customHeight="1">
      <c r="A1212" s="465"/>
      <c r="B1212" s="465"/>
      <c r="C1212" s="459">
        <v>2220204</v>
      </c>
      <c r="D1212" s="487" t="s">
        <v>1094</v>
      </c>
      <c r="E1212" s="502">
        <v>650000</v>
      </c>
    </row>
    <row r="1213" spans="1:5" ht="15" customHeight="1">
      <c r="A1213" s="465"/>
      <c r="B1213" s="465"/>
      <c r="C1213" s="459">
        <v>2220299</v>
      </c>
      <c r="D1213" s="487" t="s">
        <v>1088</v>
      </c>
      <c r="E1213" s="502"/>
    </row>
    <row r="1214" spans="1:5" ht="15" customHeight="1">
      <c r="A1214" s="465"/>
      <c r="B1214" s="465"/>
      <c r="C1214" s="459">
        <v>2220206</v>
      </c>
      <c r="D1214" s="487" t="s">
        <v>1091</v>
      </c>
      <c r="E1214" s="502">
        <v>0</v>
      </c>
    </row>
    <row r="1215" spans="1:5" ht="15" customHeight="1">
      <c r="A1215" s="465"/>
      <c r="B1215" s="465"/>
      <c r="C1215" s="460">
        <v>2620100</v>
      </c>
      <c r="D1215" s="486" t="s">
        <v>1095</v>
      </c>
      <c r="E1215" s="484">
        <f>E1216+E1217+E1218+E1219</f>
        <v>0</v>
      </c>
    </row>
    <row r="1216" spans="1:5" ht="15" customHeight="1">
      <c r="A1216" s="465"/>
      <c r="B1216" s="465"/>
      <c r="C1216" s="459">
        <v>2620161</v>
      </c>
      <c r="D1216" s="487" t="s">
        <v>1096</v>
      </c>
      <c r="E1216" s="502"/>
    </row>
    <row r="1217" spans="1:5" ht="15" customHeight="1">
      <c r="A1217" s="465"/>
      <c r="B1217" s="465"/>
      <c r="C1217" s="459">
        <v>2640100</v>
      </c>
      <c r="D1217" s="487" t="s">
        <v>1097</v>
      </c>
      <c r="E1217" s="502">
        <v>0</v>
      </c>
    </row>
    <row r="1218" spans="1:5" ht="15" customHeight="1">
      <c r="A1218" s="465"/>
      <c r="B1218" s="465"/>
      <c r="C1218" s="459">
        <v>2640105</v>
      </c>
      <c r="D1218" s="487" t="s">
        <v>1098</v>
      </c>
      <c r="E1218" s="502"/>
    </row>
    <row r="1219" spans="1:5" ht="15" customHeight="1">
      <c r="A1219" s="465"/>
      <c r="B1219" s="465"/>
      <c r="C1219" s="460">
        <v>2649999</v>
      </c>
      <c r="D1219" s="486" t="s">
        <v>1097</v>
      </c>
      <c r="E1219" s="484"/>
    </row>
    <row r="1220" spans="1:5" ht="15" customHeight="1">
      <c r="A1220" s="465"/>
      <c r="B1220" s="465"/>
      <c r="C1220" s="460">
        <v>2640200</v>
      </c>
      <c r="D1220" s="486" t="s">
        <v>1099</v>
      </c>
      <c r="E1220" s="484">
        <f>E1221+E1222+E1223</f>
        <v>0</v>
      </c>
    </row>
    <row r="1221" spans="1:5" ht="15" customHeight="1">
      <c r="A1221" s="465"/>
      <c r="B1221" s="465"/>
      <c r="C1221" s="459">
        <v>2640299</v>
      </c>
      <c r="D1221" s="487" t="s">
        <v>1139</v>
      </c>
      <c r="E1221" s="502"/>
    </row>
    <row r="1222" spans="1:5" ht="15" customHeight="1">
      <c r="A1222" s="465"/>
      <c r="B1222" s="465"/>
      <c r="C1222" s="459">
        <v>2810200</v>
      </c>
      <c r="D1222" s="487" t="s">
        <v>1101</v>
      </c>
      <c r="E1222" s="502">
        <v>0</v>
      </c>
    </row>
    <row r="1223" spans="1:5" ht="15" customHeight="1">
      <c r="A1223" s="465"/>
      <c r="B1223" s="465"/>
      <c r="C1223" s="459">
        <v>2810205</v>
      </c>
      <c r="D1223" s="487" t="s">
        <v>1102</v>
      </c>
      <c r="E1223" s="502"/>
    </row>
    <row r="1224" spans="1:5" ht="15" customHeight="1">
      <c r="A1224" s="465"/>
      <c r="B1224" s="465"/>
      <c r="C1224" s="460">
        <v>3110300</v>
      </c>
      <c r="D1224" s="486" t="s">
        <v>1103</v>
      </c>
      <c r="E1224" s="484">
        <f>E1225+E1226</f>
        <v>500000</v>
      </c>
    </row>
    <row r="1225" spans="1:5" ht="15" customHeight="1">
      <c r="A1225" s="465"/>
      <c r="B1225" s="465"/>
      <c r="C1225" s="459">
        <v>3110301</v>
      </c>
      <c r="D1225" s="487" t="s">
        <v>1104</v>
      </c>
      <c r="E1225" s="502">
        <v>500000</v>
      </c>
    </row>
    <row r="1226" spans="1:5" ht="15" customHeight="1">
      <c r="A1226" s="465"/>
      <c r="B1226" s="465"/>
      <c r="C1226" s="459">
        <v>3110302</v>
      </c>
      <c r="D1226" s="487" t="s">
        <v>1105</v>
      </c>
      <c r="E1226" s="502">
        <v>0</v>
      </c>
    </row>
    <row r="1227" spans="1:5" ht="15" customHeight="1">
      <c r="A1227" s="465"/>
      <c r="B1227" s="465"/>
      <c r="C1227" s="460">
        <v>2710100</v>
      </c>
      <c r="D1227" s="486" t="s">
        <v>1106</v>
      </c>
      <c r="E1227" s="484">
        <f>E1228</f>
        <v>0</v>
      </c>
    </row>
    <row r="1228" spans="1:5" ht="15" customHeight="1">
      <c r="A1228" s="465"/>
      <c r="B1228" s="465"/>
      <c r="C1228" s="459">
        <v>2710102</v>
      </c>
      <c r="D1228" s="487" t="s">
        <v>1140</v>
      </c>
      <c r="E1228" s="502"/>
    </row>
    <row r="1229" spans="1:5" ht="15" customHeight="1">
      <c r="A1229" s="465"/>
      <c r="B1229" s="465"/>
      <c r="C1229" s="460">
        <v>3110700</v>
      </c>
      <c r="D1229" s="486" t="s">
        <v>1108</v>
      </c>
      <c r="E1229" s="484">
        <f>E1230</f>
        <v>0</v>
      </c>
    </row>
    <row r="1230" spans="1:5" ht="15" customHeight="1">
      <c r="A1230" s="465"/>
      <c r="B1230" s="465"/>
      <c r="C1230" s="459">
        <v>3110701</v>
      </c>
      <c r="D1230" s="487" t="s">
        <v>1109</v>
      </c>
      <c r="E1230" s="502">
        <v>0</v>
      </c>
    </row>
    <row r="1231" spans="1:5" ht="15" customHeight="1">
      <c r="A1231" s="465"/>
      <c r="B1231" s="465"/>
      <c r="C1231" s="460">
        <v>3111000</v>
      </c>
      <c r="D1231" s="486" t="s">
        <v>1110</v>
      </c>
      <c r="E1231" s="484">
        <f>SUM(E1232:E1235)</f>
        <v>600000</v>
      </c>
    </row>
    <row r="1232" spans="1:5" ht="15" customHeight="1">
      <c r="A1232" s="465"/>
      <c r="B1232" s="465"/>
      <c r="C1232" s="459">
        <v>3111001</v>
      </c>
      <c r="D1232" s="487" t="s">
        <v>1111</v>
      </c>
      <c r="E1232" s="502">
        <v>0</v>
      </c>
    </row>
    <row r="1233" spans="1:5" ht="15" customHeight="1">
      <c r="A1233" s="465"/>
      <c r="B1233" s="465"/>
      <c r="C1233" s="459">
        <v>3111002</v>
      </c>
      <c r="D1233" s="487" t="s">
        <v>1112</v>
      </c>
      <c r="E1233" s="502">
        <v>0</v>
      </c>
    </row>
    <row r="1234" spans="1:5" ht="15" customHeight="1">
      <c r="A1234" s="465"/>
      <c r="B1234" s="465"/>
      <c r="C1234" s="459">
        <v>3111106</v>
      </c>
      <c r="D1234" s="487" t="s">
        <v>1235</v>
      </c>
      <c r="E1234" s="502">
        <v>300000</v>
      </c>
    </row>
    <row r="1235" spans="1:5" ht="15" customHeight="1">
      <c r="A1235" s="465"/>
      <c r="B1235" s="465"/>
      <c r="C1235" s="459">
        <v>3111109</v>
      </c>
      <c r="D1235" s="487" t="s">
        <v>1236</v>
      </c>
      <c r="E1235" s="502">
        <v>300000</v>
      </c>
    </row>
    <row r="1236" spans="1:5" ht="15" customHeight="1">
      <c r="A1236" s="465"/>
      <c r="B1236" s="465"/>
      <c r="C1236" s="460">
        <v>3111300</v>
      </c>
      <c r="D1236" s="486" t="s">
        <v>1142</v>
      </c>
      <c r="E1236" s="484">
        <f>SUM(E1237:E1239)</f>
        <v>2000000</v>
      </c>
    </row>
    <row r="1237" spans="1:5" ht="15" customHeight="1">
      <c r="A1237" s="465"/>
      <c r="B1237" s="465"/>
      <c r="C1237" s="459">
        <v>3111301</v>
      </c>
      <c r="D1237" s="487" t="s">
        <v>971</v>
      </c>
      <c r="E1237" s="502">
        <v>0</v>
      </c>
    </row>
    <row r="1238" spans="1:5" ht="15" customHeight="1">
      <c r="A1238" s="465"/>
      <c r="B1238" s="465"/>
      <c r="C1238" s="459">
        <v>3111302</v>
      </c>
      <c r="D1238" s="487" t="s">
        <v>1113</v>
      </c>
      <c r="E1238" s="502"/>
    </row>
    <row r="1239" spans="1:5" ht="15" customHeight="1">
      <c r="A1239" s="465"/>
      <c r="B1239" s="465"/>
      <c r="C1239" s="459">
        <v>3111305</v>
      </c>
      <c r="D1239" s="487" t="s">
        <v>1114</v>
      </c>
      <c r="E1239" s="502">
        <v>2000000</v>
      </c>
    </row>
    <row r="1240" spans="1:5" ht="15" customHeight="1">
      <c r="A1240" s="465"/>
      <c r="B1240" s="465"/>
      <c r="C1240" s="460">
        <v>3111400</v>
      </c>
      <c r="D1240" s="486" t="s">
        <v>1119</v>
      </c>
      <c r="E1240" s="484">
        <f>SUM(E1241:E1243)</f>
        <v>0</v>
      </c>
    </row>
    <row r="1241" spans="1:5" ht="15" customHeight="1">
      <c r="A1241" s="465"/>
      <c r="B1241" s="465"/>
      <c r="C1241" s="459">
        <v>3111401</v>
      </c>
      <c r="D1241" s="487" t="s">
        <v>1115</v>
      </c>
      <c r="E1241" s="502">
        <v>0</v>
      </c>
    </row>
    <row r="1242" spans="1:5" ht="15" customHeight="1">
      <c r="A1242" s="465"/>
      <c r="B1242" s="465"/>
      <c r="C1242" s="459">
        <v>3111403</v>
      </c>
      <c r="D1242" s="487" t="s">
        <v>1116</v>
      </c>
      <c r="E1242" s="502"/>
    </row>
    <row r="1243" spans="1:5" ht="15" customHeight="1">
      <c r="A1243" s="465"/>
      <c r="B1243" s="465"/>
      <c r="C1243" s="459">
        <v>3111499</v>
      </c>
      <c r="D1243" s="487" t="s">
        <v>1117</v>
      </c>
      <c r="E1243" s="502">
        <v>0</v>
      </c>
    </row>
    <row r="1244" spans="1:5" ht="15" customHeight="1">
      <c r="A1244" s="465"/>
      <c r="B1244" s="1394" t="s">
        <v>1144</v>
      </c>
      <c r="C1244" s="1395"/>
      <c r="D1244" s="1396"/>
      <c r="E1244" s="516">
        <f>E1236+E1231+E1206+E1204+E1194+E1191+E1187+E1177+E1169+E1159+E1155+E1149+E1140+E1136+E1132+E1116+E1144+E1229+E1224+E1240</f>
        <v>120513928.1722</v>
      </c>
    </row>
    <row r="1245" spans="1:5" ht="15" customHeight="1">
      <c r="A1245" s="1397"/>
      <c r="B1245" s="1398"/>
      <c r="C1245" s="1398"/>
      <c r="D1245" s="1398"/>
      <c r="E1245" s="1399"/>
    </row>
    <row r="1246" spans="1:5" ht="15" customHeight="1">
      <c r="A1246" s="1390"/>
      <c r="B1246" s="1391"/>
      <c r="C1246" s="1391"/>
      <c r="D1246" s="1391"/>
      <c r="E1246" s="1392"/>
    </row>
    <row r="1247" spans="1:5" ht="15" customHeight="1">
      <c r="A1247" s="1356" t="s">
        <v>1120</v>
      </c>
      <c r="B1247" s="1357"/>
      <c r="C1247" s="1357"/>
      <c r="D1247" s="1357"/>
      <c r="E1247" s="1357"/>
    </row>
    <row r="1248" spans="1:5" ht="15" customHeight="1">
      <c r="A1248" s="1353" t="s">
        <v>1431</v>
      </c>
      <c r="B1248" s="1354"/>
      <c r="C1248" s="1354"/>
      <c r="D1248" s="1354"/>
      <c r="E1248" s="1354"/>
    </row>
    <row r="1249" spans="1:5" ht="32.25" customHeight="1">
      <c r="A1249" s="1358" t="s">
        <v>1243</v>
      </c>
      <c r="B1249" s="1359"/>
      <c r="C1249" s="1359"/>
      <c r="D1249" s="1359"/>
      <c r="E1249" s="1359"/>
    </row>
    <row r="1250" spans="1:5" ht="15" customHeight="1">
      <c r="A1250" s="1347" t="s">
        <v>1122</v>
      </c>
      <c r="B1250" s="1345"/>
      <c r="C1250" s="1346" t="s">
        <v>998</v>
      </c>
      <c r="D1250" s="1347" t="s">
        <v>997</v>
      </c>
      <c r="E1250" s="1355" t="s">
        <v>1432</v>
      </c>
    </row>
    <row r="1251" spans="1:5" ht="15" customHeight="1">
      <c r="A1251" s="1347"/>
      <c r="B1251" s="1345"/>
      <c r="C1251" s="1346"/>
      <c r="D1251" s="1347"/>
      <c r="E1251" s="1355"/>
    </row>
    <row r="1252" spans="1:5" ht="15" customHeight="1">
      <c r="A1252" s="467"/>
      <c r="B1252" s="467" t="s">
        <v>1123</v>
      </c>
      <c r="C1252" s="509"/>
      <c r="D1252" s="468"/>
      <c r="E1252" s="475">
        <v>0</v>
      </c>
    </row>
    <row r="1253" spans="1:5" ht="15" customHeight="1">
      <c r="A1253" s="470"/>
      <c r="B1253" s="470"/>
      <c r="C1253" s="509">
        <v>2110100</v>
      </c>
      <c r="D1253" s="468" t="s">
        <v>999</v>
      </c>
      <c r="E1253" s="471">
        <f>SUM(E1254)</f>
        <v>46691040.36</v>
      </c>
    </row>
    <row r="1254" spans="1:5" ht="15" customHeight="1">
      <c r="A1254" s="470"/>
      <c r="B1254" s="470"/>
      <c r="C1254" s="510">
        <v>2110101</v>
      </c>
      <c r="D1254" s="464" t="s">
        <v>1000</v>
      </c>
      <c r="E1254" s="476">
        <f>38665544*1.065+5512236</f>
        <v>46691040.36</v>
      </c>
    </row>
    <row r="1255" spans="1:5" ht="15" customHeight="1">
      <c r="A1255" s="470"/>
      <c r="B1255" s="470"/>
      <c r="C1255" s="509">
        <v>2110200</v>
      </c>
      <c r="D1255" s="468" t="s">
        <v>1001</v>
      </c>
      <c r="E1255" s="471">
        <f>SUM(E1256)</f>
        <v>0</v>
      </c>
    </row>
    <row r="1256" spans="1:5" ht="15" customHeight="1">
      <c r="A1256" s="470"/>
      <c r="B1256" s="470"/>
      <c r="C1256" s="510">
        <v>2110202</v>
      </c>
      <c r="D1256" s="464" t="s">
        <v>1002</v>
      </c>
      <c r="E1256" s="476">
        <v>0</v>
      </c>
    </row>
    <row r="1257" spans="1:5" ht="15" customHeight="1">
      <c r="A1257" s="470"/>
      <c r="B1257" s="470"/>
      <c r="C1257" s="509">
        <v>2110300</v>
      </c>
      <c r="D1257" s="468" t="s">
        <v>1003</v>
      </c>
      <c r="E1257" s="471">
        <f>SUM(E1258:E1265)</f>
        <v>0</v>
      </c>
    </row>
    <row r="1258" spans="1:5" ht="15" customHeight="1">
      <c r="A1258" s="470"/>
      <c r="B1258" s="470"/>
      <c r="C1258" s="510">
        <v>2110301</v>
      </c>
      <c r="D1258" s="464" t="s">
        <v>1004</v>
      </c>
      <c r="E1258" s="476">
        <v>0</v>
      </c>
    </row>
    <row r="1259" spans="1:5" ht="15" customHeight="1">
      <c r="A1259" s="470"/>
      <c r="B1259" s="470"/>
      <c r="C1259" s="510">
        <v>2110302</v>
      </c>
      <c r="D1259" s="464" t="s">
        <v>1005</v>
      </c>
      <c r="E1259" s="476"/>
    </row>
    <row r="1260" spans="1:5" ht="15" customHeight="1">
      <c r="A1260" s="470"/>
      <c r="B1260" s="470"/>
      <c r="C1260" s="510">
        <v>2110303</v>
      </c>
      <c r="D1260" s="464" t="s">
        <v>1006</v>
      </c>
      <c r="E1260" s="476"/>
    </row>
    <row r="1261" spans="1:5" ht="15" customHeight="1">
      <c r="A1261" s="470"/>
      <c r="B1261" s="470"/>
      <c r="C1261" s="510">
        <v>2110314</v>
      </c>
      <c r="D1261" s="464" t="s">
        <v>1007</v>
      </c>
      <c r="E1261" s="476">
        <v>0</v>
      </c>
    </row>
    <row r="1262" spans="1:5" ht="15" customHeight="1">
      <c r="A1262" s="470"/>
      <c r="B1262" s="470"/>
      <c r="C1262" s="510">
        <v>2110320</v>
      </c>
      <c r="D1262" s="464" t="s">
        <v>1008</v>
      </c>
      <c r="E1262" s="476">
        <v>0</v>
      </c>
    </row>
    <row r="1263" spans="1:5" ht="15" customHeight="1">
      <c r="A1263" s="470"/>
      <c r="B1263" s="470"/>
      <c r="C1263" s="510">
        <v>2110321</v>
      </c>
      <c r="D1263" s="464" t="s">
        <v>1009</v>
      </c>
      <c r="E1263" s="476"/>
    </row>
    <row r="1264" spans="1:5" ht="15" customHeight="1">
      <c r="A1264" s="470"/>
      <c r="B1264" s="470"/>
      <c r="C1264" s="510">
        <v>2110322</v>
      </c>
      <c r="D1264" s="464" t="s">
        <v>1237</v>
      </c>
      <c r="E1264" s="476">
        <v>0</v>
      </c>
    </row>
    <row r="1265" spans="1:5" ht="15" customHeight="1">
      <c r="A1265" s="470"/>
      <c r="B1265" s="470"/>
      <c r="C1265" s="510">
        <v>2110333</v>
      </c>
      <c r="D1265" s="464" t="s">
        <v>1011</v>
      </c>
      <c r="E1265" s="476"/>
    </row>
    <row r="1266" spans="1:5" ht="15" customHeight="1">
      <c r="A1266" s="470"/>
      <c r="B1266" s="470"/>
      <c r="C1266" s="509">
        <v>2120100</v>
      </c>
      <c r="D1266" s="468" t="s">
        <v>1012</v>
      </c>
      <c r="E1266" s="471">
        <f>SUM(E1267:E1269)</f>
        <v>0</v>
      </c>
    </row>
    <row r="1267" spans="1:5" ht="15" customHeight="1">
      <c r="A1267" s="470"/>
      <c r="B1267" s="470"/>
      <c r="C1267" s="510">
        <v>2120101</v>
      </c>
      <c r="D1267" s="464" t="s">
        <v>1013</v>
      </c>
      <c r="E1267" s="476"/>
    </row>
    <row r="1268" spans="1:5" ht="15" customHeight="1">
      <c r="A1268" s="470"/>
      <c r="B1268" s="470"/>
      <c r="C1268" s="510">
        <v>2120102</v>
      </c>
      <c r="D1268" s="464" t="s">
        <v>1125</v>
      </c>
      <c r="E1268" s="476"/>
    </row>
    <row r="1269" spans="1:5" ht="15" customHeight="1">
      <c r="A1269" s="470"/>
      <c r="B1269" s="470"/>
      <c r="C1269" s="510">
        <v>2120103</v>
      </c>
      <c r="D1269" s="464" t="s">
        <v>1126</v>
      </c>
      <c r="E1269" s="476"/>
    </row>
    <row r="1270" spans="1:5" ht="15" customHeight="1">
      <c r="A1270" s="470"/>
      <c r="B1270" s="470"/>
      <c r="C1270" s="509">
        <v>2210100</v>
      </c>
      <c r="D1270" s="468" t="s">
        <v>1015</v>
      </c>
      <c r="E1270" s="471">
        <f>SUM(E1271:E1273)</f>
        <v>500000</v>
      </c>
    </row>
    <row r="1271" spans="1:5" ht="15" customHeight="1">
      <c r="A1271" s="470"/>
      <c r="B1271" s="470"/>
      <c r="C1271" s="510">
        <v>2210101</v>
      </c>
      <c r="D1271" s="464" t="s">
        <v>1016</v>
      </c>
      <c r="E1271" s="476">
        <v>300000</v>
      </c>
    </row>
    <row r="1272" spans="1:5" ht="15" customHeight="1">
      <c r="A1272" s="470"/>
      <c r="B1272" s="470"/>
      <c r="C1272" s="510">
        <v>2210102</v>
      </c>
      <c r="D1272" s="464" t="s">
        <v>1017</v>
      </c>
      <c r="E1272" s="476">
        <v>100000</v>
      </c>
    </row>
    <row r="1273" spans="1:5" ht="15" customHeight="1">
      <c r="A1273" s="470"/>
      <c r="B1273" s="470"/>
      <c r="C1273" s="510">
        <v>2210106</v>
      </c>
      <c r="D1273" s="464" t="s">
        <v>1018</v>
      </c>
      <c r="E1273" s="476">
        <v>100000</v>
      </c>
    </row>
    <row r="1274" spans="1:5" ht="15" customHeight="1">
      <c r="A1274" s="470"/>
      <c r="B1274" s="470"/>
      <c r="C1274" s="509">
        <v>2210200</v>
      </c>
      <c r="D1274" s="468" t="s">
        <v>1019</v>
      </c>
      <c r="E1274" s="471">
        <f>SUM(E1275:E1277)</f>
        <v>1000000</v>
      </c>
    </row>
    <row r="1275" spans="1:5" ht="15" customHeight="1">
      <c r="A1275" s="470"/>
      <c r="B1275" s="470"/>
      <c r="C1275" s="510">
        <v>2210201</v>
      </c>
      <c r="D1275" s="464" t="s">
        <v>1020</v>
      </c>
      <c r="E1275" s="476">
        <v>400000</v>
      </c>
    </row>
    <row r="1276" spans="1:5" ht="15" customHeight="1">
      <c r="A1276" s="470"/>
      <c r="B1276" s="470"/>
      <c r="C1276" s="510">
        <v>2210202</v>
      </c>
      <c r="D1276" s="464" t="s">
        <v>1021</v>
      </c>
      <c r="E1276" s="476">
        <v>600000</v>
      </c>
    </row>
    <row r="1277" spans="1:5" ht="15" customHeight="1">
      <c r="A1277" s="470"/>
      <c r="B1277" s="470"/>
      <c r="C1277" s="510">
        <v>2210206</v>
      </c>
      <c r="D1277" s="464" t="s">
        <v>1022</v>
      </c>
      <c r="E1277" s="471"/>
    </row>
    <row r="1278" spans="1:5" ht="15" customHeight="1">
      <c r="A1278" s="470"/>
      <c r="B1278" s="470"/>
      <c r="C1278" s="509">
        <v>2210300</v>
      </c>
      <c r="D1278" s="468" t="s">
        <v>1023</v>
      </c>
      <c r="E1278" s="471">
        <f>SUM(E1279:E1281)</f>
        <v>4000000</v>
      </c>
    </row>
    <row r="1279" spans="1:5" ht="15" customHeight="1">
      <c r="A1279" s="470"/>
      <c r="B1279" s="470"/>
      <c r="C1279" s="510">
        <v>2210301</v>
      </c>
      <c r="D1279" s="464" t="s">
        <v>1024</v>
      </c>
      <c r="E1279" s="476">
        <v>1500000</v>
      </c>
    </row>
    <row r="1280" spans="1:5" ht="15" customHeight="1">
      <c r="A1280" s="470"/>
      <c r="B1280" s="470"/>
      <c r="C1280" s="510">
        <v>2210302</v>
      </c>
      <c r="D1280" s="464" t="s">
        <v>1025</v>
      </c>
      <c r="E1280" s="476">
        <v>1000000</v>
      </c>
    </row>
    <row r="1281" spans="1:5" ht="15" customHeight="1">
      <c r="A1281" s="470"/>
      <c r="B1281" s="470"/>
      <c r="C1281" s="510">
        <v>2210303</v>
      </c>
      <c r="D1281" s="464" t="s">
        <v>1026</v>
      </c>
      <c r="E1281" s="476">
        <v>1500000</v>
      </c>
    </row>
    <row r="1282" spans="1:5" ht="15" customHeight="1">
      <c r="A1282" s="470"/>
      <c r="B1282" s="470"/>
      <c r="C1282" s="460">
        <v>2210400</v>
      </c>
      <c r="D1282" s="486" t="s">
        <v>1127</v>
      </c>
      <c r="E1282" s="471">
        <f>SUM(E1283:E1286)</f>
        <v>0</v>
      </c>
    </row>
    <row r="1283" spans="1:5" ht="15" customHeight="1">
      <c r="A1283" s="470"/>
      <c r="B1283" s="470"/>
      <c r="C1283" s="459">
        <v>2210401</v>
      </c>
      <c r="D1283" s="487" t="s">
        <v>1024</v>
      </c>
      <c r="E1283" s="476">
        <v>0</v>
      </c>
    </row>
    <row r="1284" spans="1:5" ht="15" customHeight="1">
      <c r="A1284" s="470"/>
      <c r="B1284" s="470"/>
      <c r="C1284" s="459">
        <v>2210402</v>
      </c>
      <c r="D1284" s="487" t="s">
        <v>1128</v>
      </c>
      <c r="E1284" s="476">
        <v>0</v>
      </c>
    </row>
    <row r="1285" spans="1:5" ht="15" customHeight="1">
      <c r="A1285" s="470"/>
      <c r="B1285" s="470"/>
      <c r="C1285" s="459">
        <v>2210403</v>
      </c>
      <c r="D1285" s="487" t="s">
        <v>1129</v>
      </c>
      <c r="E1285" s="476">
        <v>0</v>
      </c>
    </row>
    <row r="1286" spans="1:5" ht="15" customHeight="1">
      <c r="A1286" s="470"/>
      <c r="B1286" s="470"/>
      <c r="C1286" s="459">
        <v>2210404</v>
      </c>
      <c r="D1286" s="487" t="s">
        <v>1130</v>
      </c>
      <c r="E1286" s="476">
        <v>0</v>
      </c>
    </row>
    <row r="1287" spans="1:5" ht="15" customHeight="1">
      <c r="A1287" s="473"/>
      <c r="B1287" s="473"/>
      <c r="C1287" s="509">
        <v>2210500</v>
      </c>
      <c r="D1287" s="468" t="s">
        <v>1029</v>
      </c>
      <c r="E1287" s="471">
        <f>SUM(E1288:E1292)</f>
        <v>4200000</v>
      </c>
    </row>
    <row r="1288" spans="1:5" ht="15" customHeight="1">
      <c r="A1288" s="470"/>
      <c r="B1288" s="470"/>
      <c r="C1288" s="510">
        <v>2210502</v>
      </c>
      <c r="D1288" s="464" t="s">
        <v>1030</v>
      </c>
      <c r="E1288" s="476">
        <v>1000000</v>
      </c>
    </row>
    <row r="1289" spans="1:5" ht="15" customHeight="1">
      <c r="A1289" s="470"/>
      <c r="B1289" s="470"/>
      <c r="C1289" s="510">
        <v>2210503</v>
      </c>
      <c r="D1289" s="464" t="s">
        <v>1031</v>
      </c>
      <c r="E1289" s="476">
        <v>200000</v>
      </c>
    </row>
    <row r="1290" spans="1:5" ht="15" customHeight="1">
      <c r="A1290" s="470"/>
      <c r="B1290" s="470"/>
      <c r="C1290" s="510">
        <v>2210504</v>
      </c>
      <c r="D1290" s="464" t="s">
        <v>1032</v>
      </c>
      <c r="E1290" s="476">
        <v>1000000</v>
      </c>
    </row>
    <row r="1291" spans="1:5" ht="15" customHeight="1">
      <c r="A1291" s="470"/>
      <c r="B1291" s="470"/>
      <c r="C1291" s="510">
        <v>2210505</v>
      </c>
      <c r="D1291" s="464" t="s">
        <v>1956</v>
      </c>
      <c r="E1291" s="476">
        <v>2000000</v>
      </c>
    </row>
    <row r="1292" spans="1:5" ht="15" customHeight="1">
      <c r="A1292" s="470"/>
      <c r="B1292" s="470"/>
      <c r="C1292" s="510">
        <v>2210599</v>
      </c>
      <c r="D1292" s="464" t="s">
        <v>1034</v>
      </c>
      <c r="E1292" s="476"/>
    </row>
    <row r="1293" spans="1:5" ht="15" customHeight="1">
      <c r="A1293" s="470"/>
      <c r="B1293" s="470"/>
      <c r="C1293" s="509">
        <v>2210600</v>
      </c>
      <c r="D1293" s="468" t="s">
        <v>1035</v>
      </c>
      <c r="E1293" s="471">
        <f>SUM(E1294:E1296)</f>
        <v>2000000</v>
      </c>
    </row>
    <row r="1294" spans="1:5" ht="15" customHeight="1">
      <c r="A1294" s="470"/>
      <c r="B1294" s="470"/>
      <c r="C1294" s="510">
        <v>2210602</v>
      </c>
      <c r="D1294" s="464" t="s">
        <v>1036</v>
      </c>
      <c r="E1294" s="476"/>
    </row>
    <row r="1295" spans="1:5" ht="15" customHeight="1">
      <c r="A1295" s="470"/>
      <c r="B1295" s="470"/>
      <c r="C1295" s="510">
        <v>2210603</v>
      </c>
      <c r="D1295" s="464" t="s">
        <v>1037</v>
      </c>
      <c r="E1295" s="476">
        <v>2000000</v>
      </c>
    </row>
    <row r="1296" spans="1:5" ht="15" customHeight="1">
      <c r="A1296" s="470"/>
      <c r="B1296" s="470"/>
      <c r="C1296" s="510">
        <v>2210604</v>
      </c>
      <c r="D1296" s="464" t="s">
        <v>1038</v>
      </c>
      <c r="E1296" s="476"/>
    </row>
    <row r="1297" spans="1:5" ht="15" customHeight="1">
      <c r="A1297" s="470"/>
      <c r="B1297" s="470"/>
      <c r="C1297" s="509">
        <v>2210700</v>
      </c>
      <c r="D1297" s="468" t="s">
        <v>1048</v>
      </c>
      <c r="E1297" s="471">
        <f>SUM(E1298:E1306)</f>
        <v>4500000</v>
      </c>
    </row>
    <row r="1298" spans="1:5" ht="15" customHeight="1">
      <c r="A1298" s="470"/>
      <c r="B1298" s="470"/>
      <c r="C1298" s="510">
        <v>2210701</v>
      </c>
      <c r="D1298" s="464" t="s">
        <v>1040</v>
      </c>
      <c r="E1298" s="476">
        <v>500000</v>
      </c>
    </row>
    <row r="1299" spans="1:5" ht="15" customHeight="1">
      <c r="A1299" s="470"/>
      <c r="B1299" s="470"/>
      <c r="C1299" s="510">
        <v>2210702</v>
      </c>
      <c r="D1299" s="464" t="s">
        <v>1041</v>
      </c>
      <c r="E1299" s="476">
        <v>500000</v>
      </c>
    </row>
    <row r="1300" spans="1:5" ht="15" customHeight="1">
      <c r="A1300" s="470"/>
      <c r="B1300" s="470"/>
      <c r="C1300" s="510">
        <v>2210703</v>
      </c>
      <c r="D1300" s="464" t="s">
        <v>1042</v>
      </c>
      <c r="E1300" s="476">
        <v>500000</v>
      </c>
    </row>
    <row r="1301" spans="1:5" ht="15" customHeight="1">
      <c r="A1301" s="470"/>
      <c r="B1301" s="470"/>
      <c r="C1301" s="510">
        <v>2210704</v>
      </c>
      <c r="D1301" s="464" t="s">
        <v>1043</v>
      </c>
      <c r="E1301" s="476">
        <v>300000</v>
      </c>
    </row>
    <row r="1302" spans="1:5" ht="15" customHeight="1">
      <c r="A1302" s="470"/>
      <c r="B1302" s="470"/>
      <c r="C1302" s="510">
        <v>2210710</v>
      </c>
      <c r="D1302" s="464" t="s">
        <v>1044</v>
      </c>
      <c r="E1302" s="476">
        <v>1000000</v>
      </c>
    </row>
    <row r="1303" spans="1:5" ht="15" customHeight="1">
      <c r="A1303" s="470"/>
      <c r="B1303" s="470"/>
      <c r="C1303" s="510">
        <v>2210711</v>
      </c>
      <c r="D1303" s="464" t="s">
        <v>1045</v>
      </c>
      <c r="E1303" s="476">
        <v>200000</v>
      </c>
    </row>
    <row r="1304" spans="1:5" ht="15" customHeight="1">
      <c r="A1304" s="470"/>
      <c r="B1304" s="470"/>
      <c r="C1304" s="510">
        <v>2210713</v>
      </c>
      <c r="D1304" s="464" t="s">
        <v>1046</v>
      </c>
      <c r="E1304" s="476"/>
    </row>
    <row r="1305" spans="1:5" ht="15" customHeight="1">
      <c r="A1305" s="470"/>
      <c r="B1305" s="470"/>
      <c r="C1305" s="510">
        <v>2210716</v>
      </c>
      <c r="D1305" s="464" t="s">
        <v>1047</v>
      </c>
      <c r="E1305" s="476"/>
    </row>
    <row r="1306" spans="1:5" ht="15" customHeight="1">
      <c r="A1306" s="470"/>
      <c r="B1306" s="470"/>
      <c r="C1306" s="510">
        <v>2210799</v>
      </c>
      <c r="D1306" s="464" t="s">
        <v>1039</v>
      </c>
      <c r="E1306" s="476">
        <v>1500000</v>
      </c>
    </row>
    <row r="1307" spans="1:5" ht="15" customHeight="1">
      <c r="A1307" s="470"/>
      <c r="B1307" s="470"/>
      <c r="C1307" s="509">
        <v>2210800</v>
      </c>
      <c r="D1307" s="468" t="s">
        <v>1049</v>
      </c>
      <c r="E1307" s="471">
        <f>SUM(E1308:E1309)</f>
        <v>3907010</v>
      </c>
    </row>
    <row r="1308" spans="1:5" ht="15" customHeight="1">
      <c r="A1308" s="470"/>
      <c r="B1308" s="470"/>
      <c r="C1308" s="510">
        <v>2210801</v>
      </c>
      <c r="D1308" s="464" t="s">
        <v>1050</v>
      </c>
      <c r="E1308" s="476">
        <v>1000000</v>
      </c>
    </row>
    <row r="1309" spans="1:5" ht="15" customHeight="1">
      <c r="A1309" s="470"/>
      <c r="B1309" s="470"/>
      <c r="C1309" s="510">
        <v>2210802</v>
      </c>
      <c r="D1309" s="464" t="s">
        <v>1131</v>
      </c>
      <c r="E1309" s="476">
        <f>5000000-1092990-1000000</f>
        <v>2907010</v>
      </c>
    </row>
    <row r="1310" spans="1:5" ht="15" customHeight="1">
      <c r="A1310" s="470"/>
      <c r="B1310" s="470"/>
      <c r="C1310" s="509">
        <v>2210900</v>
      </c>
      <c r="D1310" s="468" t="s">
        <v>1052</v>
      </c>
      <c r="E1310" s="471">
        <f>SUM(E1311:E1314)</f>
        <v>0</v>
      </c>
    </row>
    <row r="1311" spans="1:5" ht="15" customHeight="1">
      <c r="A1311" s="470"/>
      <c r="B1311" s="470"/>
      <c r="C1311" s="510">
        <v>2210901</v>
      </c>
      <c r="D1311" s="464" t="s">
        <v>1053</v>
      </c>
      <c r="E1311" s="476"/>
    </row>
    <row r="1312" spans="1:5" ht="15" customHeight="1">
      <c r="A1312" s="470"/>
      <c r="B1312" s="470"/>
      <c r="C1312" s="510">
        <v>2210902</v>
      </c>
      <c r="D1312" s="464" t="s">
        <v>1054</v>
      </c>
      <c r="E1312" s="476"/>
    </row>
    <row r="1313" spans="1:5" ht="15" customHeight="1">
      <c r="A1313" s="470"/>
      <c r="B1313" s="470"/>
      <c r="C1313" s="510">
        <v>2210904</v>
      </c>
      <c r="D1313" s="464" t="s">
        <v>1055</v>
      </c>
      <c r="E1313" s="476">
        <v>0</v>
      </c>
    </row>
    <row r="1314" spans="1:5" ht="15" customHeight="1">
      <c r="A1314" s="470"/>
      <c r="B1314" s="470"/>
      <c r="C1314" s="510">
        <v>2210910</v>
      </c>
      <c r="D1314" s="464" t="s">
        <v>1056</v>
      </c>
      <c r="E1314" s="476"/>
    </row>
    <row r="1315" spans="1:5" ht="15" customHeight="1">
      <c r="A1315" s="470"/>
      <c r="B1315" s="470"/>
      <c r="C1315" s="509">
        <v>2211000</v>
      </c>
      <c r="D1315" s="468" t="s">
        <v>1057</v>
      </c>
      <c r="E1315" s="471">
        <f>SUM(E1316:E1324)</f>
        <v>0</v>
      </c>
    </row>
    <row r="1316" spans="1:5" ht="15" customHeight="1">
      <c r="A1316" s="470"/>
      <c r="B1316" s="470"/>
      <c r="C1316" s="510">
        <v>2211001</v>
      </c>
      <c r="D1316" s="464" t="s">
        <v>1058</v>
      </c>
      <c r="E1316" s="476">
        <v>0</v>
      </c>
    </row>
    <row r="1317" spans="1:5" ht="15" customHeight="1">
      <c r="A1317" s="470"/>
      <c r="B1317" s="470"/>
      <c r="C1317" s="510">
        <v>2211003</v>
      </c>
      <c r="D1317" s="464" t="s">
        <v>1132</v>
      </c>
      <c r="E1317" s="471"/>
    </row>
    <row r="1318" spans="1:5" ht="15" customHeight="1">
      <c r="A1318" s="470"/>
      <c r="B1318" s="470"/>
      <c r="C1318" s="510">
        <v>2211004</v>
      </c>
      <c r="D1318" s="464" t="s">
        <v>1060</v>
      </c>
      <c r="E1318" s="471"/>
    </row>
    <row r="1319" spans="1:5" ht="15" customHeight="1">
      <c r="A1319" s="470"/>
      <c r="B1319" s="470"/>
      <c r="C1319" s="510">
        <v>2211006</v>
      </c>
      <c r="D1319" s="464" t="s">
        <v>1061</v>
      </c>
      <c r="E1319" s="476">
        <v>0</v>
      </c>
    </row>
    <row r="1320" spans="1:5" ht="15" customHeight="1">
      <c r="A1320" s="470"/>
      <c r="B1320" s="470"/>
      <c r="C1320" s="510">
        <v>2211007</v>
      </c>
      <c r="D1320" s="464" t="s">
        <v>1133</v>
      </c>
      <c r="E1320" s="476"/>
    </row>
    <row r="1321" spans="1:5" ht="15" customHeight="1">
      <c r="A1321" s="470"/>
      <c r="B1321" s="470"/>
      <c r="C1321" s="510">
        <v>2211015</v>
      </c>
      <c r="D1321" s="464" t="s">
        <v>1063</v>
      </c>
      <c r="E1321" s="476"/>
    </row>
    <row r="1322" spans="1:5" ht="15" customHeight="1">
      <c r="A1322" s="470"/>
      <c r="B1322" s="470"/>
      <c r="C1322" s="510">
        <v>2211016</v>
      </c>
      <c r="D1322" s="464" t="s">
        <v>1064</v>
      </c>
      <c r="E1322" s="476">
        <v>0</v>
      </c>
    </row>
    <row r="1323" spans="1:5" ht="15" customHeight="1">
      <c r="A1323" s="470"/>
      <c r="B1323" s="470"/>
      <c r="C1323" s="510">
        <v>2211023</v>
      </c>
      <c r="D1323" s="464" t="s">
        <v>1065</v>
      </c>
      <c r="E1323" s="476"/>
    </row>
    <row r="1324" spans="1:5" ht="15" customHeight="1">
      <c r="A1324" s="470"/>
      <c r="B1324" s="470"/>
      <c r="C1324" s="510">
        <v>2211026</v>
      </c>
      <c r="D1324" s="464" t="s">
        <v>1134</v>
      </c>
      <c r="E1324" s="476"/>
    </row>
    <row r="1325" spans="1:5" ht="15" customHeight="1">
      <c r="A1325" s="470"/>
      <c r="B1325" s="470"/>
      <c r="C1325" s="509">
        <v>2211100</v>
      </c>
      <c r="D1325" s="468" t="s">
        <v>1067</v>
      </c>
      <c r="E1325" s="471">
        <f>SUM(E1326:E1328)</f>
        <v>2200000</v>
      </c>
    </row>
    <row r="1326" spans="1:5" ht="15" customHeight="1">
      <c r="A1326" s="470"/>
      <c r="B1326" s="470"/>
      <c r="C1326" s="510">
        <v>2211101</v>
      </c>
      <c r="D1326" s="464" t="s">
        <v>1135</v>
      </c>
      <c r="E1326" s="476">
        <v>1500000</v>
      </c>
    </row>
    <row r="1327" spans="1:5" ht="15" customHeight="1">
      <c r="A1327" s="470"/>
      <c r="B1327" s="470"/>
      <c r="C1327" s="510">
        <v>2211102</v>
      </c>
      <c r="D1327" s="464" t="s">
        <v>1069</v>
      </c>
      <c r="E1327" s="476">
        <v>500000</v>
      </c>
    </row>
    <row r="1328" spans="1:5" ht="15" customHeight="1">
      <c r="A1328" s="470"/>
      <c r="B1328" s="470"/>
      <c r="C1328" s="510">
        <v>2211103</v>
      </c>
      <c r="D1328" s="464" t="s">
        <v>1070</v>
      </c>
      <c r="E1328" s="476">
        <v>200000</v>
      </c>
    </row>
    <row r="1329" spans="1:5" ht="15" customHeight="1">
      <c r="A1329" s="470"/>
      <c r="B1329" s="470"/>
      <c r="C1329" s="509">
        <v>2211200</v>
      </c>
      <c r="D1329" s="468" t="s">
        <v>1071</v>
      </c>
      <c r="E1329" s="471">
        <f>SUM(E1330:E1331)</f>
        <v>3000000</v>
      </c>
    </row>
    <row r="1330" spans="1:5" ht="15" customHeight="1">
      <c r="A1330" s="470"/>
      <c r="B1330" s="470"/>
      <c r="C1330" s="510">
        <v>2211201</v>
      </c>
      <c r="D1330" s="464" t="s">
        <v>1072</v>
      </c>
      <c r="E1330" s="476">
        <v>3000000</v>
      </c>
    </row>
    <row r="1331" spans="1:5" ht="15" customHeight="1">
      <c r="A1331" s="470"/>
      <c r="B1331" s="470"/>
      <c r="C1331" s="510">
        <v>2211201</v>
      </c>
      <c r="D1331" s="464" t="s">
        <v>1136</v>
      </c>
      <c r="E1331" s="476"/>
    </row>
    <row r="1332" spans="1:5" ht="15" customHeight="1">
      <c r="A1332" s="473"/>
      <c r="B1332" s="473"/>
      <c r="C1332" s="509">
        <v>2211300</v>
      </c>
      <c r="D1332" s="468" t="s">
        <v>1074</v>
      </c>
      <c r="E1332" s="471">
        <f>SUM(E1333:E1342)</f>
        <v>1000000</v>
      </c>
    </row>
    <row r="1333" spans="1:5" ht="15" customHeight="1">
      <c r="A1333" s="470"/>
      <c r="B1333" s="470"/>
      <c r="C1333" s="511">
        <v>2211301</v>
      </c>
      <c r="D1333" s="464" t="s">
        <v>1075</v>
      </c>
      <c r="E1333" s="476"/>
    </row>
    <row r="1334" spans="1:5" ht="15" customHeight="1">
      <c r="A1334" s="470"/>
      <c r="B1334" s="470"/>
      <c r="C1334" s="511">
        <v>2211304</v>
      </c>
      <c r="D1334" s="464" t="s">
        <v>1076</v>
      </c>
      <c r="E1334" s="476"/>
    </row>
    <row r="1335" spans="1:5" ht="15" customHeight="1">
      <c r="A1335" s="470"/>
      <c r="B1335" s="470"/>
      <c r="C1335" s="511">
        <v>2211308</v>
      </c>
      <c r="D1335" s="464" t="s">
        <v>1077</v>
      </c>
      <c r="E1335" s="476"/>
    </row>
    <row r="1336" spans="1:5" ht="15" customHeight="1">
      <c r="A1336" s="470"/>
      <c r="B1336" s="470"/>
      <c r="C1336" s="511">
        <v>2211309</v>
      </c>
      <c r="D1336" s="464" t="s">
        <v>1078</v>
      </c>
      <c r="E1336" s="476"/>
    </row>
    <row r="1337" spans="1:5" ht="15" customHeight="1">
      <c r="A1337" s="470"/>
      <c r="B1337" s="470"/>
      <c r="C1337" s="511">
        <v>2211310</v>
      </c>
      <c r="D1337" s="464" t="s">
        <v>1137</v>
      </c>
      <c r="E1337" s="476">
        <v>1000000</v>
      </c>
    </row>
    <row r="1338" spans="1:5" ht="15" customHeight="1">
      <c r="A1338" s="470"/>
      <c r="B1338" s="470"/>
      <c r="C1338" s="511">
        <v>2211311</v>
      </c>
      <c r="D1338" s="464" t="s">
        <v>1080</v>
      </c>
      <c r="E1338" s="476"/>
    </row>
    <row r="1339" spans="1:5" ht="15" customHeight="1">
      <c r="A1339" s="470"/>
      <c r="B1339" s="470"/>
      <c r="C1339" s="511">
        <v>2211313</v>
      </c>
      <c r="D1339" s="464" t="s">
        <v>1082</v>
      </c>
      <c r="E1339" s="476">
        <v>0</v>
      </c>
    </row>
    <row r="1340" spans="1:5" ht="15" customHeight="1">
      <c r="A1340" s="470"/>
      <c r="B1340" s="470"/>
      <c r="C1340" s="511">
        <v>2211314</v>
      </c>
      <c r="D1340" s="464" t="s">
        <v>1083</v>
      </c>
      <c r="E1340" s="476"/>
    </row>
    <row r="1341" spans="1:5" ht="15" customHeight="1">
      <c r="A1341" s="470"/>
      <c r="B1341" s="470"/>
      <c r="C1341" s="511">
        <v>2211329</v>
      </c>
      <c r="D1341" s="464" t="s">
        <v>1084</v>
      </c>
      <c r="E1341" s="476">
        <v>0</v>
      </c>
    </row>
    <row r="1342" spans="1:5" ht="15" customHeight="1">
      <c r="A1342" s="470"/>
      <c r="B1342" s="470"/>
      <c r="C1342" s="511">
        <v>2211399</v>
      </c>
      <c r="D1342" s="464" t="s">
        <v>1074</v>
      </c>
      <c r="E1342" s="476">
        <v>0</v>
      </c>
    </row>
    <row r="1343" spans="1:5" ht="15" customHeight="1">
      <c r="A1343" s="473"/>
      <c r="B1343" s="473"/>
      <c r="C1343" s="509">
        <v>2220100</v>
      </c>
      <c r="D1343" s="468" t="s">
        <v>1086</v>
      </c>
      <c r="E1343" s="471">
        <f>SUM(E1344)</f>
        <v>1500000</v>
      </c>
    </row>
    <row r="1344" spans="1:5" ht="15" customHeight="1">
      <c r="A1344" s="470"/>
      <c r="B1344" s="470"/>
      <c r="C1344" s="510">
        <v>2220101</v>
      </c>
      <c r="D1344" s="464" t="s">
        <v>1138</v>
      </c>
      <c r="E1344" s="476">
        <v>1500000</v>
      </c>
    </row>
    <row r="1345" spans="1:5" ht="15" customHeight="1">
      <c r="A1345" s="473"/>
      <c r="B1345" s="473"/>
      <c r="C1345" s="509">
        <v>2220200</v>
      </c>
      <c r="D1345" s="468" t="s">
        <v>1088</v>
      </c>
      <c r="E1345" s="471">
        <f>SUM(E1346:E1353)</f>
        <v>1400000</v>
      </c>
    </row>
    <row r="1346" spans="1:5" ht="15" customHeight="1">
      <c r="A1346" s="470"/>
      <c r="B1346" s="470"/>
      <c r="C1346" s="510">
        <v>2220201</v>
      </c>
      <c r="D1346" s="464" t="s">
        <v>1089</v>
      </c>
      <c r="E1346" s="476">
        <v>200000</v>
      </c>
    </row>
    <row r="1347" spans="1:5" ht="15" customHeight="1">
      <c r="A1347" s="470"/>
      <c r="B1347" s="470"/>
      <c r="C1347" s="510">
        <v>2220205</v>
      </c>
      <c r="D1347" s="464" t="s">
        <v>1090</v>
      </c>
      <c r="E1347" s="476">
        <v>500000</v>
      </c>
    </row>
    <row r="1348" spans="1:5" ht="15" customHeight="1">
      <c r="A1348" s="470"/>
      <c r="B1348" s="470"/>
      <c r="C1348" s="510">
        <v>2220206</v>
      </c>
      <c r="D1348" s="464" t="s">
        <v>1091</v>
      </c>
      <c r="E1348" s="476"/>
    </row>
    <row r="1349" spans="1:5" ht="15" customHeight="1">
      <c r="A1349" s="470"/>
      <c r="B1349" s="470"/>
      <c r="C1349" s="510">
        <v>2220207</v>
      </c>
      <c r="D1349" s="464" t="s">
        <v>1092</v>
      </c>
      <c r="E1349" s="476"/>
    </row>
    <row r="1350" spans="1:5" ht="15" customHeight="1">
      <c r="A1350" s="470"/>
      <c r="B1350" s="470"/>
      <c r="C1350" s="510">
        <v>2220210</v>
      </c>
      <c r="D1350" s="464" t="s">
        <v>1093</v>
      </c>
      <c r="E1350" s="476">
        <v>500000</v>
      </c>
    </row>
    <row r="1351" spans="1:5" ht="15" customHeight="1">
      <c r="A1351" s="470"/>
      <c r="B1351" s="470"/>
      <c r="C1351" s="510">
        <v>2220204</v>
      </c>
      <c r="D1351" s="464" t="s">
        <v>1094</v>
      </c>
      <c r="E1351" s="476">
        <v>200000</v>
      </c>
    </row>
    <row r="1352" spans="1:5" ht="15" customHeight="1">
      <c r="A1352" s="470"/>
      <c r="B1352" s="470"/>
      <c r="C1352" s="510">
        <v>2220299</v>
      </c>
      <c r="D1352" s="464" t="s">
        <v>1088</v>
      </c>
      <c r="E1352" s="476"/>
    </row>
    <row r="1353" spans="1:5" ht="15" customHeight="1">
      <c r="A1353" s="470"/>
      <c r="B1353" s="470"/>
      <c r="C1353" s="510">
        <v>2220206</v>
      </c>
      <c r="D1353" s="464" t="s">
        <v>1091</v>
      </c>
      <c r="E1353" s="476"/>
    </row>
    <row r="1354" spans="1:5" ht="15" customHeight="1">
      <c r="A1354" s="470"/>
      <c r="B1354" s="470"/>
      <c r="C1354" s="509">
        <v>2620100</v>
      </c>
      <c r="D1354" s="468" t="s">
        <v>1095</v>
      </c>
      <c r="E1354" s="471">
        <f>SUM(E1355)</f>
        <v>0</v>
      </c>
    </row>
    <row r="1355" spans="1:5" ht="15" customHeight="1">
      <c r="A1355" s="470"/>
      <c r="B1355" s="470"/>
      <c r="C1355" s="510">
        <v>2620161</v>
      </c>
      <c r="D1355" s="464" t="s">
        <v>1096</v>
      </c>
      <c r="E1355" s="476">
        <v>0</v>
      </c>
    </row>
    <row r="1356" spans="1:5" ht="15" customHeight="1">
      <c r="A1356" s="470"/>
      <c r="B1356" s="470"/>
      <c r="C1356" s="509">
        <v>2640100</v>
      </c>
      <c r="D1356" s="468" t="s">
        <v>1097</v>
      </c>
      <c r="E1356" s="471">
        <f>SUM(E1357:E1358)</f>
        <v>0</v>
      </c>
    </row>
    <row r="1357" spans="1:5" ht="15" customHeight="1">
      <c r="A1357" s="470"/>
      <c r="B1357" s="470"/>
      <c r="C1357" s="510">
        <v>2640105</v>
      </c>
      <c r="D1357" s="464" t="s">
        <v>1098</v>
      </c>
      <c r="E1357" s="476"/>
    </row>
    <row r="1358" spans="1:5" ht="15" customHeight="1">
      <c r="A1358" s="470"/>
      <c r="B1358" s="470"/>
      <c r="C1358" s="510">
        <v>2649999</v>
      </c>
      <c r="D1358" s="464" t="s">
        <v>1097</v>
      </c>
      <c r="E1358" s="476"/>
    </row>
    <row r="1359" spans="1:5" ht="15" customHeight="1">
      <c r="A1359" s="470"/>
      <c r="B1359" s="470"/>
      <c r="C1359" s="509">
        <v>2640200</v>
      </c>
      <c r="D1359" s="468" t="s">
        <v>1099</v>
      </c>
      <c r="E1359" s="471">
        <f>SUM(E1360)</f>
        <v>0</v>
      </c>
    </row>
    <row r="1360" spans="1:5" ht="15" customHeight="1">
      <c r="A1360" s="470"/>
      <c r="B1360" s="470"/>
      <c r="C1360" s="510">
        <v>2640299</v>
      </c>
      <c r="D1360" s="464" t="s">
        <v>1139</v>
      </c>
      <c r="E1360" s="476"/>
    </row>
    <row r="1361" spans="1:5" ht="15" customHeight="1">
      <c r="A1361" s="470"/>
      <c r="B1361" s="470"/>
      <c r="C1361" s="509">
        <v>2810200</v>
      </c>
      <c r="D1361" s="468" t="s">
        <v>1101</v>
      </c>
      <c r="E1361" s="471">
        <f>SUM(E1362)</f>
        <v>0</v>
      </c>
    </row>
    <row r="1362" spans="1:5" ht="15" customHeight="1">
      <c r="A1362" s="470"/>
      <c r="B1362" s="470"/>
      <c r="C1362" s="510">
        <v>2810205</v>
      </c>
      <c r="D1362" s="464" t="s">
        <v>1102</v>
      </c>
      <c r="E1362" s="476">
        <v>0</v>
      </c>
    </row>
    <row r="1363" spans="1:5" ht="15" customHeight="1">
      <c r="A1363" s="470"/>
      <c r="B1363" s="470"/>
      <c r="C1363" s="509">
        <v>3110300</v>
      </c>
      <c r="D1363" s="468" t="s">
        <v>1103</v>
      </c>
      <c r="E1363" s="471">
        <f>SUM(E1364:E1365)</f>
        <v>0</v>
      </c>
    </row>
    <row r="1364" spans="1:5" ht="15" customHeight="1">
      <c r="A1364" s="470"/>
      <c r="B1364" s="470"/>
      <c r="C1364" s="510">
        <v>3110301</v>
      </c>
      <c r="D1364" s="464" t="s">
        <v>1104</v>
      </c>
      <c r="E1364" s="476">
        <v>0</v>
      </c>
    </row>
    <row r="1365" spans="1:5" ht="15" customHeight="1">
      <c r="A1365" s="470"/>
      <c r="B1365" s="470"/>
      <c r="C1365" s="510">
        <v>3110302</v>
      </c>
      <c r="D1365" s="464" t="s">
        <v>1105</v>
      </c>
      <c r="E1365" s="476">
        <v>0</v>
      </c>
    </row>
    <row r="1366" spans="1:5" ht="15" customHeight="1">
      <c r="A1366" s="470"/>
      <c r="B1366" s="470"/>
      <c r="C1366" s="509">
        <v>2710100</v>
      </c>
      <c r="D1366" s="468" t="s">
        <v>1106</v>
      </c>
      <c r="E1366" s="471">
        <f>SUM(E1367)</f>
        <v>1674000</v>
      </c>
    </row>
    <row r="1367" spans="1:5" ht="15" customHeight="1">
      <c r="A1367" s="470"/>
      <c r="B1367" s="470"/>
      <c r="C1367" s="509">
        <v>2710102</v>
      </c>
      <c r="D1367" s="464" t="s">
        <v>1140</v>
      </c>
      <c r="E1367" s="476">
        <v>1674000</v>
      </c>
    </row>
    <row r="1368" spans="1:5" ht="15" customHeight="1">
      <c r="A1368" s="470"/>
      <c r="B1368" s="470"/>
      <c r="C1368" s="509">
        <v>3110700</v>
      </c>
      <c r="D1368" s="468" t="s">
        <v>1108</v>
      </c>
      <c r="E1368" s="471">
        <f>SUM(E1369)</f>
        <v>900000</v>
      </c>
    </row>
    <row r="1369" spans="1:5" ht="15" customHeight="1">
      <c r="A1369" s="470"/>
      <c r="B1369" s="470"/>
      <c r="C1369" s="510">
        <v>3110701</v>
      </c>
      <c r="D1369" s="464" t="s">
        <v>1238</v>
      </c>
      <c r="E1369" s="476">
        <v>900000</v>
      </c>
    </row>
    <row r="1370" spans="1:5" ht="15" customHeight="1">
      <c r="A1370" s="470"/>
      <c r="B1370" s="470"/>
      <c r="C1370" s="509">
        <v>3111000</v>
      </c>
      <c r="D1370" s="468" t="s">
        <v>1110</v>
      </c>
      <c r="E1370" s="471">
        <f>SUM(E1371:E1372)</f>
        <v>0</v>
      </c>
    </row>
    <row r="1371" spans="1:5" ht="15" customHeight="1">
      <c r="A1371" s="470"/>
      <c r="B1371" s="470"/>
      <c r="C1371" s="510">
        <v>3111001</v>
      </c>
      <c r="D1371" s="464" t="s">
        <v>1111</v>
      </c>
      <c r="E1371" s="476">
        <v>0</v>
      </c>
    </row>
    <row r="1372" spans="1:5" ht="15" customHeight="1">
      <c r="A1372" s="470"/>
      <c r="B1372" s="470"/>
      <c r="C1372" s="510">
        <v>3111002</v>
      </c>
      <c r="D1372" s="464" t="s">
        <v>1112</v>
      </c>
      <c r="E1372" s="476">
        <v>0</v>
      </c>
    </row>
    <row r="1373" spans="1:5" ht="15" customHeight="1">
      <c r="A1373" s="470"/>
      <c r="B1373" s="470"/>
      <c r="C1373" s="509">
        <v>3111300</v>
      </c>
      <c r="D1373" s="468" t="s">
        <v>1142</v>
      </c>
      <c r="E1373" s="471">
        <f>SUM(E1374:E1376)</f>
        <v>0</v>
      </c>
    </row>
    <row r="1374" spans="1:5" ht="15" customHeight="1">
      <c r="A1374" s="470"/>
      <c r="B1374" s="470"/>
      <c r="C1374" s="510">
        <v>3111301</v>
      </c>
      <c r="D1374" s="464" t="s">
        <v>971</v>
      </c>
      <c r="E1374" s="476"/>
    </row>
    <row r="1375" spans="1:5" ht="15" customHeight="1">
      <c r="A1375" s="470"/>
      <c r="B1375" s="470"/>
      <c r="C1375" s="510">
        <v>3111302</v>
      </c>
      <c r="D1375" s="464" t="s">
        <v>1113</v>
      </c>
      <c r="E1375" s="476"/>
    </row>
    <row r="1376" spans="1:5" ht="15" customHeight="1">
      <c r="A1376" s="470"/>
      <c r="B1376" s="470"/>
      <c r="C1376" s="510">
        <v>3111305</v>
      </c>
      <c r="D1376" s="464" t="s">
        <v>1114</v>
      </c>
      <c r="E1376" s="476"/>
    </row>
    <row r="1377" spans="1:5" ht="15" customHeight="1">
      <c r="A1377" s="470"/>
      <c r="B1377" s="470"/>
      <c r="C1377" s="509">
        <v>3111400</v>
      </c>
      <c r="D1377" s="468" t="s">
        <v>1119</v>
      </c>
      <c r="E1377" s="471">
        <f>SUM(E1378:E1380)</f>
        <v>0</v>
      </c>
    </row>
    <row r="1378" spans="1:5" ht="15" customHeight="1">
      <c r="A1378" s="470"/>
      <c r="B1378" s="470"/>
      <c r="C1378" s="510">
        <v>3111401</v>
      </c>
      <c r="D1378" s="464" t="s">
        <v>1115</v>
      </c>
      <c r="E1378" s="476"/>
    </row>
    <row r="1379" spans="1:5" ht="15" customHeight="1">
      <c r="A1379" s="470"/>
      <c r="B1379" s="470"/>
      <c r="C1379" s="510">
        <v>3111403</v>
      </c>
      <c r="D1379" s="464" t="s">
        <v>1116</v>
      </c>
      <c r="E1379" s="476"/>
    </row>
    <row r="1380" spans="1:5" ht="15" customHeight="1">
      <c r="A1380" s="470"/>
      <c r="B1380" s="470"/>
      <c r="C1380" s="510">
        <v>3111499</v>
      </c>
      <c r="D1380" s="464" t="s">
        <v>1117</v>
      </c>
      <c r="E1380" s="476">
        <v>0</v>
      </c>
    </row>
    <row r="1381" spans="1:5" ht="15" customHeight="1">
      <c r="A1381" s="470"/>
      <c r="B1381" s="1375" t="s">
        <v>1144</v>
      </c>
      <c r="C1381" s="1376"/>
      <c r="D1381" s="1377"/>
      <c r="E1381" s="508">
        <f>SUM(E1253,E1255,E1257,E1266,E1270,E1274,E1278,E1282,E1287,E1293,E1297,E1307,E1310,E1315,E1325,E1329,E1332,E1343,E1345,E1354,E1356,E1359,E1361,E1363,E1366,E1368,E1370,E1373,E1377)</f>
        <v>78472050.36</v>
      </c>
    </row>
    <row r="1382" spans="1:5" ht="15" customHeight="1">
      <c r="A1382" s="1378"/>
      <c r="B1382" s="1379"/>
      <c r="C1382" s="1379"/>
      <c r="D1382" s="1379"/>
      <c r="E1382" s="1380"/>
    </row>
    <row r="1383" spans="1:5" ht="15" customHeight="1">
      <c r="A1383" s="1390"/>
      <c r="B1383" s="1391"/>
      <c r="C1383" s="1391"/>
      <c r="D1383" s="1391"/>
      <c r="E1383" s="1392"/>
    </row>
    <row r="1384" spans="1:5" ht="15" customHeight="1">
      <c r="A1384" s="1356" t="s">
        <v>1120</v>
      </c>
      <c r="B1384" s="1357"/>
      <c r="C1384" s="1357"/>
      <c r="D1384" s="1357"/>
      <c r="E1384" s="1357"/>
    </row>
    <row r="1385" spans="1:5" ht="15" customHeight="1">
      <c r="A1385" s="1353" t="s">
        <v>1431</v>
      </c>
      <c r="B1385" s="1354"/>
      <c r="C1385" s="1354"/>
      <c r="D1385" s="1354"/>
      <c r="E1385" s="1354"/>
    </row>
    <row r="1386" spans="1:5" ht="15" customHeight="1">
      <c r="A1386" s="1358" t="s">
        <v>1242</v>
      </c>
      <c r="B1386" s="1359"/>
      <c r="C1386" s="1359"/>
      <c r="D1386" s="1359"/>
      <c r="E1386" s="1359"/>
    </row>
    <row r="1387" spans="1:5" ht="15" customHeight="1">
      <c r="A1387" s="1347" t="s">
        <v>1122</v>
      </c>
      <c r="B1387" s="1345"/>
      <c r="C1387" s="1346" t="s">
        <v>998</v>
      </c>
      <c r="D1387" s="1347" t="s">
        <v>997</v>
      </c>
      <c r="E1387" s="1355" t="s">
        <v>1432</v>
      </c>
    </row>
    <row r="1388" spans="1:5" ht="15" customHeight="1">
      <c r="A1388" s="1347"/>
      <c r="B1388" s="1345"/>
      <c r="C1388" s="1346"/>
      <c r="D1388" s="1347"/>
      <c r="E1388" s="1355"/>
    </row>
    <row r="1389" spans="1:5" ht="15" customHeight="1">
      <c r="A1389" s="467"/>
      <c r="B1389" s="467" t="s">
        <v>1123</v>
      </c>
      <c r="C1389" s="509"/>
      <c r="D1389" s="468"/>
      <c r="E1389" s="475"/>
    </row>
    <row r="1390" spans="1:5" ht="15" customHeight="1">
      <c r="A1390" s="470"/>
      <c r="B1390" s="470"/>
      <c r="C1390" s="509">
        <v>2110100</v>
      </c>
      <c r="D1390" s="468" t="s">
        <v>999</v>
      </c>
      <c r="E1390" s="471">
        <f>E1391</f>
        <v>18633968.6</v>
      </c>
    </row>
    <row r="1391" spans="1:5" ht="15" customHeight="1">
      <c r="A1391" s="470"/>
      <c r="B1391" s="470"/>
      <c r="C1391" s="510">
        <v>2110101</v>
      </c>
      <c r="D1391" s="464" t="s">
        <v>1000</v>
      </c>
      <c r="E1391" s="476">
        <f>(13864416-75000)*1.1+3465611</f>
        <v>18633968.6</v>
      </c>
    </row>
    <row r="1392" spans="1:5" ht="15" customHeight="1">
      <c r="A1392" s="470"/>
      <c r="B1392" s="470"/>
      <c r="C1392" s="509">
        <v>2110200</v>
      </c>
      <c r="D1392" s="468" t="s">
        <v>1001</v>
      </c>
      <c r="E1392" s="471">
        <f>SUM(E1393)</f>
        <v>0</v>
      </c>
    </row>
    <row r="1393" spans="1:5" ht="15" customHeight="1">
      <c r="A1393" s="470"/>
      <c r="B1393" s="470"/>
      <c r="C1393" s="510">
        <v>2110202</v>
      </c>
      <c r="D1393" s="464" t="s">
        <v>1002</v>
      </c>
      <c r="E1393" s="476">
        <v>0</v>
      </c>
    </row>
    <row r="1394" spans="1:5" ht="15" customHeight="1">
      <c r="A1394" s="470"/>
      <c r="B1394" s="470"/>
      <c r="C1394" s="509">
        <v>2110300</v>
      </c>
      <c r="D1394" s="468" t="s">
        <v>1003</v>
      </c>
      <c r="E1394" s="471">
        <f>SUM(E1395:E1402)</f>
        <v>8325208.1</v>
      </c>
    </row>
    <row r="1395" spans="1:5" ht="15" customHeight="1">
      <c r="A1395" s="470"/>
      <c r="B1395" s="470"/>
      <c r="C1395" s="510">
        <v>2110301</v>
      </c>
      <c r="D1395" s="464" t="s">
        <v>1004</v>
      </c>
      <c r="E1395" s="476">
        <f>3744132*1.1</f>
        <v>4118545.2</v>
      </c>
    </row>
    <row r="1396" spans="1:5" ht="15" customHeight="1">
      <c r="A1396" s="470"/>
      <c r="B1396" s="470"/>
      <c r="C1396" s="510">
        <v>2110302</v>
      </c>
      <c r="D1396" s="464" t="s">
        <v>1005</v>
      </c>
      <c r="E1396" s="476"/>
    </row>
    <row r="1397" spans="1:5" ht="15" customHeight="1">
      <c r="A1397" s="470"/>
      <c r="B1397" s="470"/>
      <c r="C1397" s="510">
        <v>2110303</v>
      </c>
      <c r="D1397" s="464" t="s">
        <v>1239</v>
      </c>
      <c r="E1397" s="476">
        <f>2216928*1.1</f>
        <v>2438620.8000000003</v>
      </c>
    </row>
    <row r="1398" spans="1:5" ht="15" customHeight="1">
      <c r="A1398" s="470"/>
      <c r="B1398" s="470"/>
      <c r="C1398" s="510">
        <v>2110314</v>
      </c>
      <c r="D1398" s="464" t="s">
        <v>1007</v>
      </c>
      <c r="E1398" s="476">
        <f>1464000*1.1</f>
        <v>1610400.0000000002</v>
      </c>
    </row>
    <row r="1399" spans="1:5" ht="15" customHeight="1">
      <c r="A1399" s="470"/>
      <c r="B1399" s="470"/>
      <c r="C1399" s="510">
        <v>2110320</v>
      </c>
      <c r="D1399" s="464" t="s">
        <v>1008</v>
      </c>
      <c r="E1399" s="476">
        <f>143311*1.1</f>
        <v>157642.1</v>
      </c>
    </row>
    <row r="1400" spans="1:5" ht="15" customHeight="1">
      <c r="A1400" s="470"/>
      <c r="B1400" s="470"/>
      <c r="C1400" s="510">
        <v>2110321</v>
      </c>
      <c r="D1400" s="464" t="s">
        <v>1009</v>
      </c>
      <c r="E1400" s="476"/>
    </row>
    <row r="1401" spans="1:5" ht="15" customHeight="1">
      <c r="A1401" s="470"/>
      <c r="B1401" s="470"/>
      <c r="C1401" s="510">
        <v>2110322</v>
      </c>
      <c r="D1401" s="464" t="s">
        <v>1010</v>
      </c>
      <c r="E1401" s="476"/>
    </row>
    <row r="1402" spans="1:5" ht="15" customHeight="1">
      <c r="A1402" s="470"/>
      <c r="B1402" s="470"/>
      <c r="C1402" s="510">
        <v>2110333</v>
      </c>
      <c r="D1402" s="464" t="s">
        <v>1011</v>
      </c>
      <c r="E1402" s="476"/>
    </row>
    <row r="1403" spans="1:5" ht="15" customHeight="1">
      <c r="A1403" s="470"/>
      <c r="B1403" s="470"/>
      <c r="C1403" s="509">
        <v>2120100</v>
      </c>
      <c r="D1403" s="468" t="s">
        <v>1012</v>
      </c>
      <c r="E1403" s="471">
        <f>SUM(E1404:E1406)</f>
        <v>2396054.9800000004</v>
      </c>
    </row>
    <row r="1404" spans="1:5" ht="15" customHeight="1">
      <c r="A1404" s="470"/>
      <c r="B1404" s="470"/>
      <c r="C1404" s="509">
        <v>2120101</v>
      </c>
      <c r="D1404" s="464" t="s">
        <v>1013</v>
      </c>
      <c r="E1404" s="476">
        <f>547200*1.1</f>
        <v>601920</v>
      </c>
    </row>
    <row r="1405" spans="1:5" ht="15" customHeight="1">
      <c r="A1405" s="470"/>
      <c r="B1405" s="470"/>
      <c r="C1405" s="510">
        <v>2120102</v>
      </c>
      <c r="D1405" s="464" t="s">
        <v>1125</v>
      </c>
      <c r="E1405" s="476">
        <v>0</v>
      </c>
    </row>
    <row r="1406" spans="1:5" ht="15" customHeight="1">
      <c r="A1406" s="470"/>
      <c r="B1406" s="470"/>
      <c r="C1406" s="510">
        <v>2120103</v>
      </c>
      <c r="D1406" s="464" t="s">
        <v>1126</v>
      </c>
      <c r="E1406" s="476">
        <f>1631031.8*1.1</f>
        <v>1794134.9800000002</v>
      </c>
    </row>
    <row r="1407" spans="1:5" ht="15" customHeight="1">
      <c r="A1407" s="470"/>
      <c r="B1407" s="470"/>
      <c r="C1407" s="509">
        <v>2210100</v>
      </c>
      <c r="D1407" s="468" t="s">
        <v>1015</v>
      </c>
      <c r="E1407" s="471">
        <f>SUM(E1408:E1410)</f>
        <v>450000</v>
      </c>
    </row>
    <row r="1408" spans="1:5" ht="15" customHeight="1">
      <c r="A1408" s="470"/>
      <c r="B1408" s="470"/>
      <c r="C1408" s="510">
        <v>2210101</v>
      </c>
      <c r="D1408" s="464" t="s">
        <v>1016</v>
      </c>
      <c r="E1408" s="476">
        <v>250000</v>
      </c>
    </row>
    <row r="1409" spans="1:5" ht="15" customHeight="1">
      <c r="A1409" s="470"/>
      <c r="B1409" s="470"/>
      <c r="C1409" s="510">
        <v>2210102</v>
      </c>
      <c r="D1409" s="464" t="s">
        <v>1017</v>
      </c>
      <c r="E1409" s="476">
        <v>200000</v>
      </c>
    </row>
    <row r="1410" spans="1:5" ht="15" customHeight="1">
      <c r="A1410" s="470"/>
      <c r="B1410" s="470"/>
      <c r="C1410" s="510">
        <v>2210106</v>
      </c>
      <c r="D1410" s="464" t="s">
        <v>1018</v>
      </c>
      <c r="E1410" s="476">
        <v>0</v>
      </c>
    </row>
    <row r="1411" spans="1:5" ht="15" customHeight="1">
      <c r="A1411" s="470"/>
      <c r="B1411" s="470"/>
      <c r="C1411" s="509">
        <v>2210200</v>
      </c>
      <c r="D1411" s="468" t="s">
        <v>1019</v>
      </c>
      <c r="E1411" s="471">
        <f>SUM(E1412:E1414)</f>
        <v>800000</v>
      </c>
    </row>
    <row r="1412" spans="1:5" ht="15" customHeight="1">
      <c r="A1412" s="470"/>
      <c r="B1412" s="470"/>
      <c r="C1412" s="510">
        <v>2210201</v>
      </c>
      <c r="D1412" s="464" t="s">
        <v>1020</v>
      </c>
      <c r="E1412" s="476">
        <v>300000</v>
      </c>
    </row>
    <row r="1413" spans="1:5" ht="15" customHeight="1">
      <c r="A1413" s="470"/>
      <c r="B1413" s="470"/>
      <c r="C1413" s="510">
        <v>2210202</v>
      </c>
      <c r="D1413" s="464" t="s">
        <v>1021</v>
      </c>
      <c r="E1413" s="476">
        <v>500000</v>
      </c>
    </row>
    <row r="1414" spans="1:5" ht="15" customHeight="1">
      <c r="A1414" s="470"/>
      <c r="B1414" s="470"/>
      <c r="C1414" s="510">
        <v>2210206</v>
      </c>
      <c r="D1414" s="464" t="s">
        <v>1022</v>
      </c>
      <c r="E1414" s="476">
        <v>0</v>
      </c>
    </row>
    <row r="1415" spans="1:5" ht="15" customHeight="1">
      <c r="A1415" s="470"/>
      <c r="B1415" s="470"/>
      <c r="C1415" s="509">
        <v>2210300</v>
      </c>
      <c r="D1415" s="468" t="s">
        <v>1023</v>
      </c>
      <c r="E1415" s="471">
        <f>SUM(E1416:E1418)</f>
        <v>4000000</v>
      </c>
    </row>
    <row r="1416" spans="1:5" ht="15" customHeight="1">
      <c r="A1416" s="470"/>
      <c r="B1416" s="470"/>
      <c r="C1416" s="510">
        <v>2210301</v>
      </c>
      <c r="D1416" s="464" t="s">
        <v>1024</v>
      </c>
      <c r="E1416" s="476">
        <v>1500000</v>
      </c>
    </row>
    <row r="1417" spans="1:5" ht="15" customHeight="1">
      <c r="A1417" s="470"/>
      <c r="B1417" s="470"/>
      <c r="C1417" s="510">
        <v>2210302</v>
      </c>
      <c r="D1417" s="464" t="s">
        <v>1025</v>
      </c>
      <c r="E1417" s="476">
        <v>1000000</v>
      </c>
    </row>
    <row r="1418" spans="1:5" ht="15" customHeight="1">
      <c r="A1418" s="470"/>
      <c r="B1418" s="470"/>
      <c r="C1418" s="510">
        <v>2210303</v>
      </c>
      <c r="D1418" s="464" t="s">
        <v>1026</v>
      </c>
      <c r="E1418" s="476">
        <v>1500000</v>
      </c>
    </row>
    <row r="1419" spans="1:5" ht="15" customHeight="1">
      <c r="A1419" s="470"/>
      <c r="B1419" s="470"/>
      <c r="C1419" s="460">
        <v>2210400</v>
      </c>
      <c r="D1419" s="486" t="s">
        <v>1127</v>
      </c>
      <c r="E1419" s="471">
        <f>SUM(E1420:E1423)</f>
        <v>1000000</v>
      </c>
    </row>
    <row r="1420" spans="1:5" ht="15" customHeight="1">
      <c r="A1420" s="470"/>
      <c r="B1420" s="470"/>
      <c r="C1420" s="459">
        <v>2210401</v>
      </c>
      <c r="D1420" s="487" t="s">
        <v>1024</v>
      </c>
      <c r="E1420" s="476">
        <v>500000</v>
      </c>
    </row>
    <row r="1421" spans="1:5" ht="15" customHeight="1">
      <c r="A1421" s="470"/>
      <c r="B1421" s="470"/>
      <c r="C1421" s="459">
        <v>2210402</v>
      </c>
      <c r="D1421" s="487" t="s">
        <v>1128</v>
      </c>
      <c r="E1421" s="476">
        <v>500000</v>
      </c>
    </row>
    <row r="1422" spans="1:5" ht="15" customHeight="1">
      <c r="A1422" s="470"/>
      <c r="B1422" s="470"/>
      <c r="C1422" s="459">
        <v>2210403</v>
      </c>
      <c r="D1422" s="487" t="s">
        <v>1129</v>
      </c>
      <c r="E1422" s="476">
        <v>0</v>
      </c>
    </row>
    <row r="1423" spans="1:5" ht="15" customHeight="1">
      <c r="A1423" s="470"/>
      <c r="B1423" s="470"/>
      <c r="C1423" s="459">
        <v>2210404</v>
      </c>
      <c r="D1423" s="487" t="s">
        <v>1130</v>
      </c>
      <c r="E1423" s="476">
        <v>0</v>
      </c>
    </row>
    <row r="1424" spans="1:5" ht="15" customHeight="1">
      <c r="A1424" s="473"/>
      <c r="B1424" s="473"/>
      <c r="C1424" s="509">
        <v>2210500</v>
      </c>
      <c r="D1424" s="468" t="s">
        <v>1029</v>
      </c>
      <c r="E1424" s="471">
        <f>SUM(E1425:E1429)</f>
        <v>16200000</v>
      </c>
    </row>
    <row r="1425" spans="1:5" ht="15" customHeight="1">
      <c r="A1425" s="470"/>
      <c r="B1425" s="470"/>
      <c r="C1425" s="510">
        <v>2210502</v>
      </c>
      <c r="D1425" s="464" t="s">
        <v>1030</v>
      </c>
      <c r="E1425" s="476">
        <v>1000000</v>
      </c>
    </row>
    <row r="1426" spans="1:5" ht="15" customHeight="1">
      <c r="A1426" s="470"/>
      <c r="B1426" s="470"/>
      <c r="C1426" s="510">
        <v>2210503</v>
      </c>
      <c r="D1426" s="464" t="s">
        <v>1031</v>
      </c>
      <c r="E1426" s="476">
        <v>200000</v>
      </c>
    </row>
    <row r="1427" spans="1:5" ht="15" customHeight="1">
      <c r="A1427" s="470"/>
      <c r="B1427" s="470"/>
      <c r="C1427" s="510">
        <v>2210504</v>
      </c>
      <c r="D1427" s="464" t="s">
        <v>1032</v>
      </c>
      <c r="E1427" s="476">
        <v>0</v>
      </c>
    </row>
    <row r="1428" spans="1:5" ht="15" customHeight="1">
      <c r="A1428" s="470"/>
      <c r="B1428" s="470"/>
      <c r="C1428" s="510">
        <v>2210505</v>
      </c>
      <c r="D1428" s="464" t="s">
        <v>1942</v>
      </c>
      <c r="E1428" s="476">
        <v>15000000</v>
      </c>
    </row>
    <row r="1429" spans="1:5" ht="15" customHeight="1">
      <c r="A1429" s="470"/>
      <c r="B1429" s="470"/>
      <c r="C1429" s="510">
        <v>2210599</v>
      </c>
      <c r="D1429" s="464" t="s">
        <v>1034</v>
      </c>
      <c r="E1429" s="476">
        <v>0</v>
      </c>
    </row>
    <row r="1430" spans="1:5" ht="15" customHeight="1">
      <c r="A1430" s="470"/>
      <c r="B1430" s="470"/>
      <c r="C1430" s="509">
        <v>2210600</v>
      </c>
      <c r="D1430" s="468" t="s">
        <v>1035</v>
      </c>
      <c r="E1430" s="471">
        <f>SUM(E1431:E1433)</f>
        <v>1000000</v>
      </c>
    </row>
    <row r="1431" spans="1:5" ht="15" customHeight="1">
      <c r="A1431" s="470"/>
      <c r="B1431" s="470"/>
      <c r="C1431" s="510">
        <v>2210602</v>
      </c>
      <c r="D1431" s="464" t="s">
        <v>1036</v>
      </c>
      <c r="E1431" s="476"/>
    </row>
    <row r="1432" spans="1:5" ht="15" customHeight="1">
      <c r="A1432" s="470"/>
      <c r="B1432" s="470"/>
      <c r="C1432" s="510">
        <v>2210603</v>
      </c>
      <c r="D1432" s="464" t="s">
        <v>1037</v>
      </c>
      <c r="E1432" s="476"/>
    </row>
    <row r="1433" spans="1:5" ht="15" customHeight="1">
      <c r="A1433" s="470"/>
      <c r="B1433" s="470"/>
      <c r="C1433" s="510">
        <v>2210604</v>
      </c>
      <c r="D1433" s="464" t="s">
        <v>1038</v>
      </c>
      <c r="E1433" s="476">
        <v>1000000</v>
      </c>
    </row>
    <row r="1434" spans="1:5" ht="15" customHeight="1">
      <c r="A1434" s="470"/>
      <c r="B1434" s="470"/>
      <c r="C1434" s="509">
        <v>2210700</v>
      </c>
      <c r="D1434" s="468" t="s">
        <v>1048</v>
      </c>
      <c r="E1434" s="471">
        <f>SUM(E1435:E1443)</f>
        <v>1500000</v>
      </c>
    </row>
    <row r="1435" spans="1:5" ht="15" customHeight="1">
      <c r="A1435" s="470"/>
      <c r="B1435" s="470"/>
      <c r="C1435" s="510">
        <v>2210701</v>
      </c>
      <c r="D1435" s="464" t="s">
        <v>1040</v>
      </c>
      <c r="E1435" s="476">
        <v>350000</v>
      </c>
    </row>
    <row r="1436" spans="1:5" ht="15" customHeight="1">
      <c r="A1436" s="470"/>
      <c r="B1436" s="470"/>
      <c r="C1436" s="510">
        <v>2210702</v>
      </c>
      <c r="D1436" s="464" t="s">
        <v>1041</v>
      </c>
      <c r="E1436" s="476">
        <v>0</v>
      </c>
    </row>
    <row r="1437" spans="1:5" ht="15" customHeight="1">
      <c r="A1437" s="470"/>
      <c r="B1437" s="470"/>
      <c r="C1437" s="510">
        <v>2210703</v>
      </c>
      <c r="D1437" s="464" t="s">
        <v>1042</v>
      </c>
      <c r="E1437" s="476">
        <v>0</v>
      </c>
    </row>
    <row r="1438" spans="1:5" ht="15" customHeight="1">
      <c r="A1438" s="470"/>
      <c r="B1438" s="470"/>
      <c r="C1438" s="510">
        <v>2210704</v>
      </c>
      <c r="D1438" s="464" t="s">
        <v>1043</v>
      </c>
      <c r="E1438" s="476">
        <v>0</v>
      </c>
    </row>
    <row r="1439" spans="1:5" ht="15" customHeight="1">
      <c r="A1439" s="470"/>
      <c r="B1439" s="470"/>
      <c r="C1439" s="510">
        <v>2210710</v>
      </c>
      <c r="D1439" s="464" t="s">
        <v>1044</v>
      </c>
      <c r="E1439" s="476">
        <v>500000</v>
      </c>
    </row>
    <row r="1440" spans="1:5" ht="15" customHeight="1">
      <c r="A1440" s="470"/>
      <c r="B1440" s="470"/>
      <c r="C1440" s="510">
        <v>2210711</v>
      </c>
      <c r="D1440" s="464" t="s">
        <v>1045</v>
      </c>
      <c r="E1440" s="476">
        <v>0</v>
      </c>
    </row>
    <row r="1441" spans="1:5" ht="15" customHeight="1">
      <c r="A1441" s="470"/>
      <c r="B1441" s="470"/>
      <c r="C1441" s="510">
        <v>2210713</v>
      </c>
      <c r="D1441" s="464" t="s">
        <v>1046</v>
      </c>
      <c r="E1441" s="476">
        <v>0</v>
      </c>
    </row>
    <row r="1442" spans="1:5" ht="15" customHeight="1">
      <c r="A1442" s="470"/>
      <c r="B1442" s="470"/>
      <c r="C1442" s="510">
        <v>2210716</v>
      </c>
      <c r="D1442" s="464" t="s">
        <v>1047</v>
      </c>
      <c r="E1442" s="476">
        <v>0</v>
      </c>
    </row>
    <row r="1443" spans="1:5" ht="15" customHeight="1">
      <c r="A1443" s="470"/>
      <c r="B1443" s="470"/>
      <c r="C1443" s="510">
        <v>2210799</v>
      </c>
      <c r="D1443" s="464" t="s">
        <v>1039</v>
      </c>
      <c r="E1443" s="476">
        <v>650000</v>
      </c>
    </row>
    <row r="1444" spans="1:5" ht="15" customHeight="1">
      <c r="A1444" s="470"/>
      <c r="B1444" s="470"/>
      <c r="C1444" s="509">
        <v>2210800</v>
      </c>
      <c r="D1444" s="468" t="s">
        <v>1049</v>
      </c>
      <c r="E1444" s="471">
        <f>SUM(E1445:E1446)</f>
        <v>1500000</v>
      </c>
    </row>
    <row r="1445" spans="1:5" ht="15" customHeight="1">
      <c r="A1445" s="470"/>
      <c r="B1445" s="470"/>
      <c r="C1445" s="510">
        <v>2210801</v>
      </c>
      <c r="D1445" s="464" t="s">
        <v>1050</v>
      </c>
      <c r="E1445" s="476">
        <v>1000000</v>
      </c>
    </row>
    <row r="1446" spans="1:5" ht="15" customHeight="1">
      <c r="A1446" s="470"/>
      <c r="B1446" s="470"/>
      <c r="C1446" s="510">
        <v>2210802</v>
      </c>
      <c r="D1446" s="464" t="s">
        <v>1131</v>
      </c>
      <c r="E1446" s="476">
        <v>500000</v>
      </c>
    </row>
    <row r="1447" spans="1:5" ht="15" customHeight="1">
      <c r="A1447" s="470"/>
      <c r="B1447" s="470"/>
      <c r="C1447" s="509">
        <v>2210900</v>
      </c>
      <c r="D1447" s="468" t="s">
        <v>1052</v>
      </c>
      <c r="E1447" s="471">
        <f>SUM(E1448:E1451)</f>
        <v>0</v>
      </c>
    </row>
    <row r="1448" spans="1:5" ht="15" customHeight="1">
      <c r="A1448" s="470"/>
      <c r="B1448" s="470"/>
      <c r="C1448" s="510">
        <v>2210901</v>
      </c>
      <c r="D1448" s="464" t="s">
        <v>1053</v>
      </c>
      <c r="E1448" s="476"/>
    </row>
    <row r="1449" spans="1:5" ht="15" customHeight="1">
      <c r="A1449" s="470"/>
      <c r="B1449" s="470"/>
      <c r="C1449" s="510">
        <v>2210902</v>
      </c>
      <c r="D1449" s="464" t="s">
        <v>1054</v>
      </c>
      <c r="E1449" s="476"/>
    </row>
    <row r="1450" spans="1:5" ht="15" customHeight="1">
      <c r="A1450" s="470"/>
      <c r="B1450" s="470"/>
      <c r="C1450" s="510">
        <v>2210904</v>
      </c>
      <c r="D1450" s="464" t="s">
        <v>1055</v>
      </c>
      <c r="E1450" s="476">
        <v>0</v>
      </c>
    </row>
    <row r="1451" spans="1:5" ht="15" customHeight="1">
      <c r="A1451" s="470"/>
      <c r="B1451" s="470"/>
      <c r="C1451" s="510">
        <v>2210910</v>
      </c>
      <c r="D1451" s="464" t="s">
        <v>1056</v>
      </c>
      <c r="E1451" s="476">
        <v>0</v>
      </c>
    </row>
    <row r="1452" spans="1:5" ht="15" customHeight="1">
      <c r="A1452" s="470"/>
      <c r="B1452" s="470"/>
      <c r="C1452" s="509">
        <v>2211000</v>
      </c>
      <c r="D1452" s="468" t="s">
        <v>1057</v>
      </c>
      <c r="E1452" s="471">
        <f>SUM(E1453:E1461)</f>
        <v>100000</v>
      </c>
    </row>
    <row r="1453" spans="1:5" ht="15" customHeight="1">
      <c r="A1453" s="470"/>
      <c r="B1453" s="470"/>
      <c r="C1453" s="510">
        <v>2211001</v>
      </c>
      <c r="D1453" s="464" t="s">
        <v>1058</v>
      </c>
      <c r="E1453" s="471"/>
    </row>
    <row r="1454" spans="1:5" ht="15" customHeight="1">
      <c r="A1454" s="470"/>
      <c r="B1454" s="470"/>
      <c r="C1454" s="510">
        <v>2211003</v>
      </c>
      <c r="D1454" s="464" t="s">
        <v>1132</v>
      </c>
      <c r="E1454" s="471"/>
    </row>
    <row r="1455" spans="1:5" ht="15" customHeight="1">
      <c r="A1455" s="470"/>
      <c r="B1455" s="470"/>
      <c r="C1455" s="510">
        <v>2211004</v>
      </c>
      <c r="D1455" s="464" t="s">
        <v>1060</v>
      </c>
      <c r="E1455" s="471"/>
    </row>
    <row r="1456" spans="1:5" ht="15" customHeight="1">
      <c r="A1456" s="470"/>
      <c r="B1456" s="470"/>
      <c r="C1456" s="510">
        <v>2211006</v>
      </c>
      <c r="D1456" s="464" t="s">
        <v>1061</v>
      </c>
      <c r="E1456" s="476">
        <v>100000</v>
      </c>
    </row>
    <row r="1457" spans="1:5" ht="15" customHeight="1">
      <c r="A1457" s="470"/>
      <c r="B1457" s="470"/>
      <c r="C1457" s="510">
        <v>2211007</v>
      </c>
      <c r="D1457" s="464" t="s">
        <v>1133</v>
      </c>
      <c r="E1457" s="476"/>
    </row>
    <row r="1458" spans="1:5" ht="15" customHeight="1">
      <c r="A1458" s="470"/>
      <c r="B1458" s="470"/>
      <c r="C1458" s="510">
        <v>2211015</v>
      </c>
      <c r="D1458" s="464" t="s">
        <v>1063</v>
      </c>
      <c r="E1458" s="476"/>
    </row>
    <row r="1459" spans="1:5" ht="15" customHeight="1">
      <c r="A1459" s="470"/>
      <c r="B1459" s="470"/>
      <c r="C1459" s="510">
        <v>2211016</v>
      </c>
      <c r="D1459" s="464" t="s">
        <v>1064</v>
      </c>
      <c r="E1459" s="476">
        <v>0</v>
      </c>
    </row>
    <row r="1460" spans="1:5" ht="15" customHeight="1">
      <c r="A1460" s="470"/>
      <c r="B1460" s="470"/>
      <c r="C1460" s="510">
        <v>2211023</v>
      </c>
      <c r="D1460" s="464" t="s">
        <v>1065</v>
      </c>
      <c r="E1460" s="476"/>
    </row>
    <row r="1461" spans="1:5" ht="15" customHeight="1">
      <c r="A1461" s="470"/>
      <c r="B1461" s="470"/>
      <c r="C1461" s="510">
        <v>2211026</v>
      </c>
      <c r="D1461" s="464" t="s">
        <v>1134</v>
      </c>
      <c r="E1461" s="476"/>
    </row>
    <row r="1462" spans="1:5" ht="15" customHeight="1">
      <c r="A1462" s="470"/>
      <c r="B1462" s="470"/>
      <c r="C1462" s="509">
        <v>2211100</v>
      </c>
      <c r="D1462" s="468" t="s">
        <v>1067</v>
      </c>
      <c r="E1462" s="471">
        <f>SUM(E1463:E1465)</f>
        <v>1500000</v>
      </c>
    </row>
    <row r="1463" spans="1:5" ht="15" customHeight="1">
      <c r="A1463" s="470"/>
      <c r="B1463" s="470"/>
      <c r="C1463" s="510">
        <v>2211101</v>
      </c>
      <c r="D1463" s="464" t="s">
        <v>1135</v>
      </c>
      <c r="E1463" s="476">
        <v>1000000</v>
      </c>
    </row>
    <row r="1464" spans="1:5" ht="15" customHeight="1">
      <c r="A1464" s="470"/>
      <c r="B1464" s="470"/>
      <c r="C1464" s="510">
        <v>2211102</v>
      </c>
      <c r="D1464" s="464" t="s">
        <v>1069</v>
      </c>
      <c r="E1464" s="476">
        <v>200000</v>
      </c>
    </row>
    <row r="1465" spans="1:5" ht="15" customHeight="1">
      <c r="A1465" s="470"/>
      <c r="B1465" s="470"/>
      <c r="C1465" s="510">
        <v>2211103</v>
      </c>
      <c r="D1465" s="464" t="s">
        <v>1070</v>
      </c>
      <c r="E1465" s="476">
        <v>300000</v>
      </c>
    </row>
    <row r="1466" spans="1:5" ht="15" customHeight="1">
      <c r="A1466" s="470"/>
      <c r="B1466" s="470"/>
      <c r="C1466" s="509">
        <v>2211200</v>
      </c>
      <c r="D1466" s="468" t="s">
        <v>1071</v>
      </c>
      <c r="E1466" s="471">
        <f>SUM(E1467:E1468)</f>
        <v>2000000</v>
      </c>
    </row>
    <row r="1467" spans="1:5" ht="15" customHeight="1">
      <c r="A1467" s="470"/>
      <c r="B1467" s="470"/>
      <c r="C1467" s="510">
        <v>2211201</v>
      </c>
      <c r="D1467" s="464" t="s">
        <v>1072</v>
      </c>
      <c r="E1467" s="476">
        <v>1500000</v>
      </c>
    </row>
    <row r="1468" spans="1:5" ht="15" customHeight="1">
      <c r="A1468" s="470"/>
      <c r="B1468" s="470"/>
      <c r="C1468" s="510">
        <v>2211201</v>
      </c>
      <c r="D1468" s="464" t="s">
        <v>1136</v>
      </c>
      <c r="E1468" s="476">
        <v>500000</v>
      </c>
    </row>
    <row r="1469" spans="1:5" ht="15" customHeight="1">
      <c r="A1469" s="473"/>
      <c r="B1469" s="473"/>
      <c r="C1469" s="509">
        <v>2211300</v>
      </c>
      <c r="D1469" s="468" t="s">
        <v>1074</v>
      </c>
      <c r="E1469" s="471">
        <f>SUM(E1470:E1479)</f>
        <v>500000</v>
      </c>
    </row>
    <row r="1470" spans="1:5" ht="15" customHeight="1">
      <c r="A1470" s="470"/>
      <c r="B1470" s="470"/>
      <c r="C1470" s="511">
        <v>2211301</v>
      </c>
      <c r="D1470" s="464" t="s">
        <v>1075</v>
      </c>
      <c r="E1470" s="476"/>
    </row>
    <row r="1471" spans="1:5" ht="15" customHeight="1">
      <c r="A1471" s="470"/>
      <c r="B1471" s="470"/>
      <c r="C1471" s="511">
        <v>2211304</v>
      </c>
      <c r="D1471" s="464" t="s">
        <v>1076</v>
      </c>
      <c r="E1471" s="476"/>
    </row>
    <row r="1472" spans="1:5" ht="15" customHeight="1">
      <c r="A1472" s="470"/>
      <c r="B1472" s="470"/>
      <c r="C1472" s="511">
        <v>2211308</v>
      </c>
      <c r="D1472" s="464" t="s">
        <v>1077</v>
      </c>
      <c r="E1472" s="476"/>
    </row>
    <row r="1473" spans="1:5" ht="15" customHeight="1">
      <c r="A1473" s="470"/>
      <c r="B1473" s="470"/>
      <c r="C1473" s="511">
        <v>2211309</v>
      </c>
      <c r="D1473" s="464" t="s">
        <v>1078</v>
      </c>
      <c r="E1473" s="476"/>
    </row>
    <row r="1474" spans="1:5" ht="15" customHeight="1">
      <c r="A1474" s="470"/>
      <c r="B1474" s="470"/>
      <c r="C1474" s="511">
        <v>2211310</v>
      </c>
      <c r="D1474" s="464" t="s">
        <v>1137</v>
      </c>
      <c r="E1474" s="476">
        <v>500000</v>
      </c>
    </row>
    <row r="1475" spans="1:5" ht="15" customHeight="1">
      <c r="A1475" s="470"/>
      <c r="B1475" s="470"/>
      <c r="C1475" s="511">
        <v>2211311</v>
      </c>
      <c r="D1475" s="464" t="s">
        <v>1080</v>
      </c>
      <c r="E1475" s="476"/>
    </row>
    <row r="1476" spans="1:5" ht="15" customHeight="1">
      <c r="A1476" s="470"/>
      <c r="B1476" s="470"/>
      <c r="C1476" s="511">
        <v>2211313</v>
      </c>
      <c r="D1476" s="464" t="s">
        <v>1082</v>
      </c>
      <c r="E1476" s="476"/>
    </row>
    <row r="1477" spans="1:5" ht="15" customHeight="1">
      <c r="A1477" s="470"/>
      <c r="B1477" s="470"/>
      <c r="C1477" s="511">
        <v>2211314</v>
      </c>
      <c r="D1477" s="464" t="s">
        <v>1083</v>
      </c>
      <c r="E1477" s="476"/>
    </row>
    <row r="1478" spans="1:5" ht="15" customHeight="1">
      <c r="A1478" s="470"/>
      <c r="B1478" s="470"/>
      <c r="C1478" s="511">
        <v>2211329</v>
      </c>
      <c r="D1478" s="464" t="s">
        <v>1084</v>
      </c>
      <c r="E1478" s="476">
        <v>0</v>
      </c>
    </row>
    <row r="1479" spans="1:5" ht="15" customHeight="1">
      <c r="A1479" s="470"/>
      <c r="B1479" s="470"/>
      <c r="C1479" s="511">
        <v>2211399</v>
      </c>
      <c r="D1479" s="464" t="s">
        <v>1074</v>
      </c>
      <c r="E1479" s="476">
        <v>0</v>
      </c>
    </row>
    <row r="1480" spans="1:5" ht="15" customHeight="1">
      <c r="A1480" s="473"/>
      <c r="B1480" s="473"/>
      <c r="C1480" s="509">
        <v>2220100</v>
      </c>
      <c r="D1480" s="468" t="s">
        <v>1086</v>
      </c>
      <c r="E1480" s="471">
        <f>SUM(E1481)</f>
        <v>700000</v>
      </c>
    </row>
    <row r="1481" spans="1:5" ht="15" customHeight="1">
      <c r="A1481" s="470"/>
      <c r="B1481" s="470"/>
      <c r="C1481" s="510">
        <v>2220101</v>
      </c>
      <c r="D1481" s="464" t="s">
        <v>1138</v>
      </c>
      <c r="E1481" s="476">
        <v>700000</v>
      </c>
    </row>
    <row r="1482" spans="1:5" ht="15" customHeight="1">
      <c r="A1482" s="473"/>
      <c r="B1482" s="473"/>
      <c r="C1482" s="509">
        <v>2220200</v>
      </c>
      <c r="D1482" s="468" t="s">
        <v>1088</v>
      </c>
      <c r="E1482" s="471">
        <f>SUM(E1483:E1490)</f>
        <v>700000</v>
      </c>
    </row>
    <row r="1483" spans="1:5" ht="15" customHeight="1">
      <c r="A1483" s="470"/>
      <c r="B1483" s="470"/>
      <c r="C1483" s="510">
        <v>2220201</v>
      </c>
      <c r="D1483" s="464" t="s">
        <v>1089</v>
      </c>
      <c r="E1483" s="476"/>
    </row>
    <row r="1484" spans="1:5" ht="15" customHeight="1">
      <c r="A1484" s="470"/>
      <c r="B1484" s="470"/>
      <c r="C1484" s="510">
        <v>2220205</v>
      </c>
      <c r="D1484" s="464" t="s">
        <v>1090</v>
      </c>
      <c r="E1484" s="476">
        <v>300000</v>
      </c>
    </row>
    <row r="1485" spans="1:5" ht="15" customHeight="1">
      <c r="A1485" s="470"/>
      <c r="B1485" s="470"/>
      <c r="C1485" s="510">
        <v>2220206</v>
      </c>
      <c r="D1485" s="464" t="s">
        <v>1091</v>
      </c>
      <c r="E1485" s="476"/>
    </row>
    <row r="1486" spans="1:5" ht="15" customHeight="1">
      <c r="A1486" s="470"/>
      <c r="B1486" s="470"/>
      <c r="C1486" s="510">
        <v>2220207</v>
      </c>
      <c r="D1486" s="464" t="s">
        <v>1092</v>
      </c>
      <c r="E1486" s="476"/>
    </row>
    <row r="1487" spans="1:5" ht="15" customHeight="1">
      <c r="A1487" s="470"/>
      <c r="B1487" s="470"/>
      <c r="C1487" s="510">
        <v>2220210</v>
      </c>
      <c r="D1487" s="464" t="s">
        <v>1093</v>
      </c>
      <c r="E1487" s="476">
        <v>200000</v>
      </c>
    </row>
    <row r="1488" spans="1:5" ht="15" customHeight="1">
      <c r="A1488" s="470"/>
      <c r="B1488" s="470"/>
      <c r="C1488" s="510">
        <v>2220204</v>
      </c>
      <c r="D1488" s="464" t="s">
        <v>1094</v>
      </c>
      <c r="E1488" s="476">
        <v>200000</v>
      </c>
    </row>
    <row r="1489" spans="1:5" ht="15" customHeight="1">
      <c r="A1489" s="470"/>
      <c r="B1489" s="470"/>
      <c r="C1489" s="510">
        <v>2220299</v>
      </c>
      <c r="D1489" s="464" t="s">
        <v>1088</v>
      </c>
      <c r="E1489" s="476"/>
    </row>
    <row r="1490" spans="1:5" ht="15" customHeight="1">
      <c r="A1490" s="470"/>
      <c r="B1490" s="470"/>
      <c r="C1490" s="510">
        <v>2220206</v>
      </c>
      <c r="D1490" s="464" t="s">
        <v>1091</v>
      </c>
      <c r="E1490" s="476"/>
    </row>
    <row r="1491" spans="1:5" ht="15" customHeight="1">
      <c r="A1491" s="470"/>
      <c r="B1491" s="470"/>
      <c r="C1491" s="509">
        <v>2620100</v>
      </c>
      <c r="D1491" s="468" t="s">
        <v>1095</v>
      </c>
      <c r="E1491" s="471">
        <f>SUM(E1492)</f>
        <v>0</v>
      </c>
    </row>
    <row r="1492" spans="1:5" ht="15" customHeight="1">
      <c r="A1492" s="470"/>
      <c r="B1492" s="470"/>
      <c r="C1492" s="510">
        <v>2620161</v>
      </c>
      <c r="D1492" s="464" t="s">
        <v>1096</v>
      </c>
      <c r="E1492" s="476"/>
    </row>
    <row r="1493" spans="1:5" ht="15" customHeight="1">
      <c r="A1493" s="470"/>
      <c r="B1493" s="470"/>
      <c r="C1493" s="509">
        <v>2640100</v>
      </c>
      <c r="D1493" s="468" t="s">
        <v>1097</v>
      </c>
      <c r="E1493" s="471">
        <f>SUM(E1494:E1495)</f>
        <v>0</v>
      </c>
    </row>
    <row r="1494" spans="1:5" ht="15" customHeight="1">
      <c r="A1494" s="470"/>
      <c r="B1494" s="470"/>
      <c r="C1494" s="510">
        <v>2640105</v>
      </c>
      <c r="D1494" s="464" t="s">
        <v>1098</v>
      </c>
      <c r="E1494" s="476"/>
    </row>
    <row r="1495" spans="1:5" ht="15" customHeight="1">
      <c r="A1495" s="470"/>
      <c r="B1495" s="470"/>
      <c r="C1495" s="510">
        <v>2649999</v>
      </c>
      <c r="D1495" s="464" t="s">
        <v>1097</v>
      </c>
      <c r="E1495" s="476"/>
    </row>
    <row r="1496" spans="1:5" ht="15" customHeight="1">
      <c r="A1496" s="470"/>
      <c r="B1496" s="470"/>
      <c r="C1496" s="509">
        <v>2640200</v>
      </c>
      <c r="D1496" s="468" t="s">
        <v>1099</v>
      </c>
      <c r="E1496" s="471">
        <f>SUM(E1497)</f>
        <v>0</v>
      </c>
    </row>
    <row r="1497" spans="1:5" ht="15" customHeight="1">
      <c r="A1497" s="470"/>
      <c r="B1497" s="470"/>
      <c r="C1497" s="510">
        <v>2640299</v>
      </c>
      <c r="D1497" s="464" t="s">
        <v>1139</v>
      </c>
      <c r="E1497" s="476">
        <v>0</v>
      </c>
    </row>
    <row r="1498" spans="1:5" ht="15" customHeight="1">
      <c r="A1498" s="470"/>
      <c r="B1498" s="470"/>
      <c r="C1498" s="509">
        <v>2810200</v>
      </c>
      <c r="D1498" s="468" t="s">
        <v>1101</v>
      </c>
      <c r="E1498" s="471">
        <f>SUM(E1499)</f>
        <v>0</v>
      </c>
    </row>
    <row r="1499" spans="1:5" ht="15" customHeight="1">
      <c r="A1499" s="470"/>
      <c r="B1499" s="470"/>
      <c r="C1499" s="510">
        <v>2810205</v>
      </c>
      <c r="D1499" s="464" t="s">
        <v>1102</v>
      </c>
      <c r="E1499" s="476"/>
    </row>
    <row r="1500" spans="1:5" ht="15" customHeight="1">
      <c r="A1500" s="470"/>
      <c r="B1500" s="470"/>
      <c r="C1500" s="509">
        <v>3110300</v>
      </c>
      <c r="D1500" s="468" t="s">
        <v>1103</v>
      </c>
      <c r="E1500" s="471">
        <f>SUM(E1501:E1502)</f>
        <v>0</v>
      </c>
    </row>
    <row r="1501" spans="1:5" ht="15" customHeight="1">
      <c r="A1501" s="470"/>
      <c r="B1501" s="470"/>
      <c r="C1501" s="510">
        <v>3110301</v>
      </c>
      <c r="D1501" s="464" t="s">
        <v>1104</v>
      </c>
      <c r="E1501" s="476"/>
    </row>
    <row r="1502" spans="1:5" ht="15" customHeight="1">
      <c r="A1502" s="470"/>
      <c r="B1502" s="470"/>
      <c r="C1502" s="510">
        <v>3110302</v>
      </c>
      <c r="D1502" s="464" t="s">
        <v>1105</v>
      </c>
      <c r="E1502" s="476"/>
    </row>
    <row r="1503" spans="1:5" ht="15" customHeight="1">
      <c r="A1503" s="470"/>
      <c r="B1503" s="470"/>
      <c r="C1503" s="509">
        <v>2710100</v>
      </c>
      <c r="D1503" s="468" t="s">
        <v>1106</v>
      </c>
      <c r="E1503" s="471">
        <f>SUM(E1504)</f>
        <v>1654473.72</v>
      </c>
    </row>
    <row r="1504" spans="1:5" ht="15" customHeight="1">
      <c r="A1504" s="470"/>
      <c r="B1504" s="470"/>
      <c r="C1504" s="509">
        <v>2710102</v>
      </c>
      <c r="D1504" s="464" t="s">
        <v>1140</v>
      </c>
      <c r="E1504" s="476">
        <v>1654473.72</v>
      </c>
    </row>
    <row r="1505" spans="1:5" ht="15" customHeight="1">
      <c r="A1505" s="470"/>
      <c r="B1505" s="470"/>
      <c r="C1505" s="509">
        <v>3110700</v>
      </c>
      <c r="D1505" s="468" t="s">
        <v>1108</v>
      </c>
      <c r="E1505" s="471">
        <f>SUM(E1506)</f>
        <v>0</v>
      </c>
    </row>
    <row r="1506" spans="1:5" ht="15" customHeight="1">
      <c r="A1506" s="470"/>
      <c r="B1506" s="470"/>
      <c r="C1506" s="510">
        <v>3110701</v>
      </c>
      <c r="D1506" s="464" t="s">
        <v>1109</v>
      </c>
      <c r="E1506" s="476">
        <v>0</v>
      </c>
    </row>
    <row r="1507" spans="1:5" ht="15" customHeight="1">
      <c r="A1507" s="470"/>
      <c r="B1507" s="470"/>
      <c r="C1507" s="509">
        <v>3111000</v>
      </c>
      <c r="D1507" s="468" t="s">
        <v>1110</v>
      </c>
      <c r="E1507" s="471">
        <f>SUM(E1508:E1509)</f>
        <v>0</v>
      </c>
    </row>
    <row r="1508" spans="1:5" ht="15" customHeight="1">
      <c r="A1508" s="470"/>
      <c r="B1508" s="470"/>
      <c r="C1508" s="510">
        <v>3111001</v>
      </c>
      <c r="D1508" s="464" t="s">
        <v>1240</v>
      </c>
      <c r="E1508" s="476">
        <v>0</v>
      </c>
    </row>
    <row r="1509" spans="1:5" ht="15" customHeight="1">
      <c r="A1509" s="470"/>
      <c r="B1509" s="470"/>
      <c r="C1509" s="510">
        <v>3111002</v>
      </c>
      <c r="D1509" s="464" t="s">
        <v>1112</v>
      </c>
      <c r="E1509" s="476">
        <v>0</v>
      </c>
    </row>
    <row r="1510" spans="1:5" ht="15" customHeight="1">
      <c r="A1510" s="470"/>
      <c r="B1510" s="470"/>
      <c r="C1510" s="509">
        <v>3111300</v>
      </c>
      <c r="D1510" s="468" t="s">
        <v>1142</v>
      </c>
      <c r="E1510" s="471">
        <f>SUM(E1511:E1513)</f>
        <v>200000</v>
      </c>
    </row>
    <row r="1511" spans="1:5" ht="15" customHeight="1">
      <c r="A1511" s="470"/>
      <c r="B1511" s="470"/>
      <c r="C1511" s="510">
        <v>3111301</v>
      </c>
      <c r="D1511" s="464" t="s">
        <v>971</v>
      </c>
      <c r="E1511" s="476"/>
    </row>
    <row r="1512" spans="1:5" ht="15" customHeight="1">
      <c r="A1512" s="470"/>
      <c r="B1512" s="470"/>
      <c r="C1512" s="510">
        <v>3111302</v>
      </c>
      <c r="D1512" s="464" t="s">
        <v>1113</v>
      </c>
      <c r="E1512" s="476"/>
    </row>
    <row r="1513" spans="1:5" ht="15" customHeight="1">
      <c r="A1513" s="470"/>
      <c r="B1513" s="470"/>
      <c r="C1513" s="510">
        <v>3111305</v>
      </c>
      <c r="D1513" s="464" t="s">
        <v>1114</v>
      </c>
      <c r="E1513" s="476">
        <v>200000</v>
      </c>
    </row>
    <row r="1514" spans="1:5" ht="15" customHeight="1">
      <c r="A1514" s="470"/>
      <c r="B1514" s="470"/>
      <c r="C1514" s="509">
        <v>3111400</v>
      </c>
      <c r="D1514" s="468" t="s">
        <v>1119</v>
      </c>
      <c r="E1514" s="471">
        <f>SUM(E1515:E1517)</f>
        <v>500000</v>
      </c>
    </row>
    <row r="1515" spans="1:5" ht="15" customHeight="1">
      <c r="A1515" s="470"/>
      <c r="B1515" s="470"/>
      <c r="C1515" s="510">
        <v>3111401</v>
      </c>
      <c r="D1515" s="464" t="s">
        <v>1115</v>
      </c>
      <c r="E1515" s="476"/>
    </row>
    <row r="1516" spans="1:5" ht="15" customHeight="1">
      <c r="A1516" s="470"/>
      <c r="B1516" s="470"/>
      <c r="C1516" s="510">
        <v>3111403</v>
      </c>
      <c r="D1516" s="464" t="s">
        <v>1116</v>
      </c>
      <c r="E1516" s="476">
        <v>0</v>
      </c>
    </row>
    <row r="1517" spans="1:5" ht="15" customHeight="1">
      <c r="A1517" s="470"/>
      <c r="B1517" s="470"/>
      <c r="C1517" s="510">
        <v>3111499</v>
      </c>
      <c r="D1517" s="464" t="s">
        <v>1117</v>
      </c>
      <c r="E1517" s="476">
        <v>500000</v>
      </c>
    </row>
    <row r="1518" spans="1:3" ht="15" customHeight="1">
      <c r="A1518" s="470"/>
      <c r="B1518" s="889"/>
      <c r="C1518" s="890"/>
    </row>
    <row r="1519" spans="1:5" ht="15" customHeight="1">
      <c r="A1519" s="470"/>
      <c r="B1519" s="1375" t="s">
        <v>1144</v>
      </c>
      <c r="C1519" s="1376"/>
      <c r="D1519" s="1377"/>
      <c r="E1519" s="508">
        <f>SUM(E1390,E1392,E1394,E1403,E1407,E1411,E1415,E1419,E1424,E1430,E1434,E1444,E1447,E1452,E1462,E1466,E1469,E1480,E1482,E1491,E1493,E1496,E1498,E1500,E1503,E1505,E1507,E1510,E1514)</f>
        <v>63659705.400000006</v>
      </c>
    </row>
    <row r="1520" spans="1:5" ht="15" customHeight="1">
      <c r="A1520" s="527"/>
      <c r="B1520" s="528"/>
      <c r="C1520" s="529"/>
      <c r="D1520" s="528"/>
      <c r="E1520" s="530"/>
    </row>
    <row r="1521" spans="1:5" ht="15" customHeight="1">
      <c r="A1521" s="531"/>
      <c r="B1521" s="1400" t="s">
        <v>1257</v>
      </c>
      <c r="C1521" s="1400"/>
      <c r="D1521" s="1400"/>
      <c r="E1521" s="532">
        <f>SUM(E1519,E1381,E1244,E1109,E1041,E902,E793,E708,E642,E505,E413,E272,E133)</f>
        <v>3927490149.7053995</v>
      </c>
    </row>
  </sheetData>
  <sheetProtection/>
  <mergeCells count="109">
    <mergeCell ref="B1521:D1521"/>
    <mergeCell ref="B714:B715"/>
    <mergeCell ref="A799:A800"/>
    <mergeCell ref="B799:B800"/>
    <mergeCell ref="B1109:D1109"/>
    <mergeCell ref="B1108:D1108"/>
    <mergeCell ref="B1041:D1041"/>
    <mergeCell ref="A1042:E1043"/>
    <mergeCell ref="A903:E904"/>
    <mergeCell ref="B902:D902"/>
    <mergeCell ref="A709:E710"/>
    <mergeCell ref="B708:D708"/>
    <mergeCell ref="B642:D642"/>
    <mergeCell ref="A643:E644"/>
    <mergeCell ref="A506:E507"/>
    <mergeCell ref="B505:D505"/>
    <mergeCell ref="A648:A649"/>
    <mergeCell ref="B648:B649"/>
    <mergeCell ref="B1519:D1519"/>
    <mergeCell ref="B1381:D1381"/>
    <mergeCell ref="B1244:D1244"/>
    <mergeCell ref="A1245:E1246"/>
    <mergeCell ref="A1382:E1383"/>
    <mergeCell ref="A1110:E1111"/>
    <mergeCell ref="A1384:E1384"/>
    <mergeCell ref="A1385:E1385"/>
    <mergeCell ref="A1386:E1386"/>
    <mergeCell ref="A1387:A1388"/>
    <mergeCell ref="A1044:E1044"/>
    <mergeCell ref="A1045:E1045"/>
    <mergeCell ref="A1046:E1046"/>
    <mergeCell ref="A1112:E1112"/>
    <mergeCell ref="A1113:E1113"/>
    <mergeCell ref="A1114:E1114"/>
    <mergeCell ref="B1106:D1106"/>
    <mergeCell ref="A712:E712"/>
    <mergeCell ref="A713:E713"/>
    <mergeCell ref="A796:E796"/>
    <mergeCell ref="A797:E797"/>
    <mergeCell ref="A798:E798"/>
    <mergeCell ref="B793:D793"/>
    <mergeCell ref="A794:E795"/>
    <mergeCell ref="C787:D787"/>
    <mergeCell ref="A714:A715"/>
    <mergeCell ref="A272:D272"/>
    <mergeCell ref="A273:E274"/>
    <mergeCell ref="B413:D413"/>
    <mergeCell ref="A414:E415"/>
    <mergeCell ref="A645:E645"/>
    <mergeCell ref="A646:E646"/>
    <mergeCell ref="A416:E416"/>
    <mergeCell ref="A417:E417"/>
    <mergeCell ref="A418:E418"/>
    <mergeCell ref="A419:A420"/>
    <mergeCell ref="A1:E1"/>
    <mergeCell ref="A2:E2"/>
    <mergeCell ref="A3:E3"/>
    <mergeCell ref="A133:D133"/>
    <mergeCell ref="A134:E135"/>
    <mergeCell ref="A647:E647"/>
    <mergeCell ref="A4:A5"/>
    <mergeCell ref="B4:B5"/>
    <mergeCell ref="B419:B420"/>
    <mergeCell ref="A137:E137"/>
    <mergeCell ref="B1387:B1388"/>
    <mergeCell ref="C1387:C1388"/>
    <mergeCell ref="D1387:D1388"/>
    <mergeCell ref="E1387:E1388"/>
    <mergeCell ref="A1247:E1247"/>
    <mergeCell ref="A1248:E1248"/>
    <mergeCell ref="A1249:E1249"/>
    <mergeCell ref="A1250:A1251"/>
    <mergeCell ref="B1250:B1251"/>
    <mergeCell ref="C1250:C1251"/>
    <mergeCell ref="D1250:D1251"/>
    <mergeCell ref="E1250:E1251"/>
    <mergeCell ref="C792:D792"/>
    <mergeCell ref="A905:E905"/>
    <mergeCell ref="A906:E906"/>
    <mergeCell ref="A907:E907"/>
    <mergeCell ref="A908:A909"/>
    <mergeCell ref="B908:B909"/>
    <mergeCell ref="C908:C909"/>
    <mergeCell ref="D908:D909"/>
    <mergeCell ref="E908:E909"/>
    <mergeCell ref="A508:E508"/>
    <mergeCell ref="A509:E509"/>
    <mergeCell ref="A510:E510"/>
    <mergeCell ref="A511:A512"/>
    <mergeCell ref="B511:B512"/>
    <mergeCell ref="C511:C512"/>
    <mergeCell ref="D511:D512"/>
    <mergeCell ref="E511:E512"/>
    <mergeCell ref="A711:E711"/>
    <mergeCell ref="A275:E275"/>
    <mergeCell ref="A276:E276"/>
    <mergeCell ref="A277:E277"/>
    <mergeCell ref="A278:A279"/>
    <mergeCell ref="B278:B279"/>
    <mergeCell ref="C278:C279"/>
    <mergeCell ref="D278:D279"/>
    <mergeCell ref="E278:E279"/>
    <mergeCell ref="B139:B140"/>
    <mergeCell ref="C139:C140"/>
    <mergeCell ref="D139:D140"/>
    <mergeCell ref="E139:E140"/>
    <mergeCell ref="A136:E136"/>
    <mergeCell ref="A138:E138"/>
    <mergeCell ref="A139:A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7" manualBreakCount="17">
    <brk id="70" max="13" man="1"/>
    <brk id="133" max="255" man="1"/>
    <brk id="272" max="255" man="1"/>
    <brk id="343" max="13" man="1"/>
    <brk id="413" max="255" man="1"/>
    <brk id="505" max="255" man="1"/>
    <brk id="576" max="13" man="1"/>
    <brk id="642" max="13" man="1"/>
    <brk id="708" max="255" man="1"/>
    <brk id="793" max="255" man="1"/>
    <brk id="863" max="13" man="1"/>
    <brk id="902" max="255" man="1"/>
    <brk id="1041" max="255" man="1"/>
    <brk id="1109" max="255" man="1"/>
    <brk id="1244" max="255" man="1"/>
    <brk id="1381" max="255" man="1"/>
    <brk id="1452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0.00390625" style="602" bestFit="1" customWidth="1"/>
    <col min="2" max="2" width="40.421875" style="273" customWidth="1"/>
    <col min="3" max="3" width="20.140625" style="605" bestFit="1" customWidth="1"/>
    <col min="4" max="4" width="22.421875" style="346" customWidth="1"/>
    <col min="5" max="5" width="13.57421875" style="346" customWidth="1"/>
    <col min="6" max="6" width="23.28125" style="346" bestFit="1" customWidth="1"/>
    <col min="7" max="7" width="12.57421875" style="346" customWidth="1"/>
    <col min="8" max="8" width="19.7109375" style="346" customWidth="1"/>
    <col min="9" max="9" width="16.57421875" style="346" customWidth="1"/>
    <col min="10" max="10" width="20.421875" style="304" customWidth="1"/>
    <col min="11" max="11" width="17.8515625" style="304" customWidth="1"/>
    <col min="12" max="12" width="12.421875" style="273" customWidth="1"/>
    <col min="13" max="13" width="13.140625" style="273" customWidth="1"/>
    <col min="14" max="14" width="14.7109375" style="273" customWidth="1"/>
    <col min="15" max="15" width="13.8515625" style="273" customWidth="1"/>
    <col min="16" max="16" width="12.00390625" style="273" bestFit="1" customWidth="1"/>
    <col min="17" max="16384" width="9.140625" style="273" customWidth="1"/>
  </cols>
  <sheetData>
    <row r="1" spans="1:3" ht="12">
      <c r="A1" s="1210" t="s">
        <v>1258</v>
      </c>
      <c r="B1" s="1210"/>
      <c r="C1" s="1210"/>
    </row>
    <row r="2" spans="1:3" ht="12">
      <c r="A2" s="1210" t="s">
        <v>1259</v>
      </c>
      <c r="B2" s="1210"/>
      <c r="C2" s="1210"/>
    </row>
    <row r="4" spans="1:11" s="538" customFormat="1" ht="27">
      <c r="A4" s="1402" t="s">
        <v>1260</v>
      </c>
      <c r="B4" s="1402"/>
      <c r="C4" s="1402"/>
      <c r="D4" s="535" t="s">
        <v>1261</v>
      </c>
      <c r="E4" s="536"/>
      <c r="F4" s="536"/>
      <c r="G4" s="536"/>
      <c r="H4" s="536"/>
      <c r="I4" s="536"/>
      <c r="J4" s="537"/>
      <c r="K4" s="537"/>
    </row>
    <row r="5" spans="1:4" ht="12">
      <c r="A5" s="539">
        <v>3111001</v>
      </c>
      <c r="B5" s="540" t="s">
        <v>1111</v>
      </c>
      <c r="C5" s="541">
        <v>30000000</v>
      </c>
      <c r="D5" s="542">
        <v>30000000</v>
      </c>
    </row>
    <row r="6" spans="1:4" ht="12">
      <c r="A6" s="539"/>
      <c r="B6" s="543" t="s">
        <v>1262</v>
      </c>
      <c r="C6" s="544">
        <f>SUM(C5)</f>
        <v>30000000</v>
      </c>
      <c r="D6" s="545">
        <f>SUM(D5)</f>
        <v>30000000</v>
      </c>
    </row>
    <row r="7" spans="1:3" ht="12">
      <c r="A7" s="546"/>
      <c r="B7" s="547"/>
      <c r="C7" s="548"/>
    </row>
    <row r="8" spans="1:3" ht="12">
      <c r="A8" s="546"/>
      <c r="B8" s="547"/>
      <c r="C8" s="548"/>
    </row>
    <row r="9" spans="1:11" s="538" customFormat="1" ht="27">
      <c r="A9" s="1402" t="s">
        <v>1263</v>
      </c>
      <c r="B9" s="1402"/>
      <c r="C9" s="1402"/>
      <c r="D9" s="535" t="s">
        <v>1388</v>
      </c>
      <c r="E9" s="536"/>
      <c r="F9" s="536"/>
      <c r="G9" s="536"/>
      <c r="H9" s="536"/>
      <c r="I9" s="536"/>
      <c r="J9" s="537"/>
      <c r="K9" s="537"/>
    </row>
    <row r="10" spans="1:4" ht="12">
      <c r="A10" s="539">
        <v>3110299</v>
      </c>
      <c r="B10" s="540" t="s">
        <v>1264</v>
      </c>
      <c r="C10" s="549">
        <f>149617122-49000000-20000000</f>
        <v>80617122</v>
      </c>
      <c r="D10" s="549">
        <f>C10</f>
        <v>80617122</v>
      </c>
    </row>
    <row r="11" spans="1:4" ht="12">
      <c r="A11" s="539">
        <v>3111001</v>
      </c>
      <c r="B11" s="540" t="s">
        <v>1111</v>
      </c>
      <c r="C11" s="550">
        <v>30000000</v>
      </c>
      <c r="D11" s="550">
        <v>30000000</v>
      </c>
    </row>
    <row r="12" spans="1:4" ht="24">
      <c r="A12" s="742">
        <v>4130201</v>
      </c>
      <c r="B12" s="571" t="s">
        <v>1429</v>
      </c>
      <c r="C12" s="550">
        <f>'Development 2017-2018'!G18</f>
        <v>3000000</v>
      </c>
      <c r="D12" s="550">
        <f>C12</f>
        <v>3000000</v>
      </c>
    </row>
    <row r="13" spans="1:4" ht="12">
      <c r="A13" s="539"/>
      <c r="B13" s="543" t="s">
        <v>1262</v>
      </c>
      <c r="C13" s="544">
        <f>SUM(C10:C12)</f>
        <v>113617122</v>
      </c>
      <c r="D13" s="544">
        <f>SUM(D10:D12)</f>
        <v>113617122</v>
      </c>
    </row>
    <row r="14" spans="1:4" ht="12">
      <c r="A14" s="546"/>
      <c r="B14" s="547"/>
      <c r="C14" s="548"/>
      <c r="D14" s="551"/>
    </row>
    <row r="15" spans="1:3" ht="12">
      <c r="A15" s="546"/>
      <c r="B15" s="547"/>
      <c r="C15" s="548"/>
    </row>
    <row r="16" spans="1:11" s="538" customFormat="1" ht="40.5">
      <c r="A16" s="1402" t="s">
        <v>1265</v>
      </c>
      <c r="B16" s="1402"/>
      <c r="C16" s="1402"/>
      <c r="D16" s="552" t="s">
        <v>1311</v>
      </c>
      <c r="E16" s="552" t="s">
        <v>1312</v>
      </c>
      <c r="F16" s="552" t="s">
        <v>1313</v>
      </c>
      <c r="G16" s="553" t="s">
        <v>1314</v>
      </c>
      <c r="H16" s="553" t="s">
        <v>1426</v>
      </c>
      <c r="I16" s="536"/>
      <c r="J16" s="537"/>
      <c r="K16" s="537"/>
    </row>
    <row r="17" spans="1:8" ht="12">
      <c r="A17" s="539">
        <v>3111401</v>
      </c>
      <c r="B17" s="554" t="s">
        <v>1266</v>
      </c>
      <c r="C17" s="555">
        <v>20000000</v>
      </c>
      <c r="D17" s="542">
        <v>10000000</v>
      </c>
      <c r="E17" s="542">
        <v>5000000</v>
      </c>
      <c r="F17" s="542">
        <v>5000000</v>
      </c>
      <c r="G17" s="542"/>
      <c r="H17" s="542"/>
    </row>
    <row r="18" spans="1:8" ht="12">
      <c r="A18" s="539">
        <v>3110299</v>
      </c>
      <c r="B18" s="554" t="s">
        <v>1267</v>
      </c>
      <c r="C18" s="555">
        <v>75000000</v>
      </c>
      <c r="D18" s="542"/>
      <c r="E18" s="542"/>
      <c r="F18" s="542"/>
      <c r="G18" s="542">
        <v>75000000</v>
      </c>
      <c r="H18" s="542"/>
    </row>
    <row r="19" spans="1:8" ht="12">
      <c r="A19" s="539">
        <v>2210714</v>
      </c>
      <c r="B19" s="554" t="s">
        <v>1425</v>
      </c>
      <c r="C19" s="555">
        <v>10000000</v>
      </c>
      <c r="D19" s="542"/>
      <c r="E19" s="542"/>
      <c r="F19" s="542"/>
      <c r="G19" s="542"/>
      <c r="H19" s="542">
        <v>10000000</v>
      </c>
    </row>
    <row r="20" spans="1:8" ht="24">
      <c r="A20" s="742">
        <v>4130201</v>
      </c>
      <c r="B20" s="571" t="s">
        <v>1429</v>
      </c>
      <c r="C20" s="555" t="e">
        <f>'Development 2017-2018'!#REF!</f>
        <v>#REF!</v>
      </c>
      <c r="D20" s="542"/>
      <c r="E20" s="542"/>
      <c r="F20" s="542"/>
      <c r="G20" s="542" t="e">
        <f>C20</f>
        <v>#REF!</v>
      </c>
      <c r="H20" s="542"/>
    </row>
    <row r="21" spans="1:8" ht="12">
      <c r="A21" s="539"/>
      <c r="B21" s="556" t="s">
        <v>1262</v>
      </c>
      <c r="C21" s="557" t="e">
        <f aca="true" t="shared" si="0" ref="C21:H21">SUM(C17:C20)</f>
        <v>#REF!</v>
      </c>
      <c r="D21" s="557">
        <f t="shared" si="0"/>
        <v>10000000</v>
      </c>
      <c r="E21" s="557">
        <f t="shared" si="0"/>
        <v>5000000</v>
      </c>
      <c r="F21" s="557">
        <f t="shared" si="0"/>
        <v>5000000</v>
      </c>
      <c r="G21" s="557" t="e">
        <f t="shared" si="0"/>
        <v>#REF!</v>
      </c>
      <c r="H21" s="557">
        <f t="shared" si="0"/>
        <v>10000000</v>
      </c>
    </row>
    <row r="22" spans="1:8" ht="12">
      <c r="A22" s="546"/>
      <c r="B22" s="558"/>
      <c r="C22" s="559"/>
      <c r="D22" s="560"/>
      <c r="E22" s="560"/>
      <c r="F22" s="560"/>
      <c r="G22" s="561"/>
      <c r="H22" s="561"/>
    </row>
    <row r="23" spans="1:3" ht="12">
      <c r="A23" s="546"/>
      <c r="B23" s="547"/>
      <c r="C23" s="548"/>
    </row>
    <row r="24" spans="1:11" s="566" customFormat="1" ht="67.5">
      <c r="A24" s="1402" t="s">
        <v>1268</v>
      </c>
      <c r="B24" s="1402"/>
      <c r="C24" s="1402"/>
      <c r="D24" s="562" t="s">
        <v>1306</v>
      </c>
      <c r="E24" s="562" t="s">
        <v>1307</v>
      </c>
      <c r="F24" s="563" t="s">
        <v>1315</v>
      </c>
      <c r="G24" s="563" t="s">
        <v>1316</v>
      </c>
      <c r="H24" s="562" t="s">
        <v>1308</v>
      </c>
      <c r="I24" s="563" t="s">
        <v>1317</v>
      </c>
      <c r="J24" s="564" t="s">
        <v>1269</v>
      </c>
      <c r="K24" s="565"/>
    </row>
    <row r="25" spans="1:10" ht="12">
      <c r="A25" s="539">
        <v>3110706</v>
      </c>
      <c r="B25" s="540" t="s">
        <v>1305</v>
      </c>
      <c r="C25" s="550">
        <v>8000000</v>
      </c>
      <c r="D25" s="542"/>
      <c r="E25" s="542">
        <v>8000000</v>
      </c>
      <c r="F25" s="567"/>
      <c r="G25" s="567"/>
      <c r="H25" s="567"/>
      <c r="I25" s="542"/>
      <c r="J25" s="568"/>
    </row>
    <row r="26" spans="1:10" ht="12">
      <c r="A26" s="539">
        <v>3110504</v>
      </c>
      <c r="B26" s="668" t="s">
        <v>1270</v>
      </c>
      <c r="C26" s="550">
        <f>58735818-3000000+3500000+1700000-400000</f>
        <v>60535818</v>
      </c>
      <c r="D26" s="542">
        <v>5000000</v>
      </c>
      <c r="E26" s="542">
        <f>27200000-1300000-400000</f>
        <v>25500000</v>
      </c>
      <c r="F26" s="542">
        <v>14535818</v>
      </c>
      <c r="G26" s="542"/>
      <c r="H26" s="542">
        <v>3500000</v>
      </c>
      <c r="I26" s="542"/>
      <c r="J26" s="568">
        <v>12000000</v>
      </c>
    </row>
    <row r="27" spans="1:10" ht="12">
      <c r="A27" s="539">
        <v>3110702</v>
      </c>
      <c r="B27" s="668" t="s">
        <v>1427</v>
      </c>
      <c r="C27" s="550">
        <v>6000000</v>
      </c>
      <c r="D27" s="542"/>
      <c r="E27" s="542"/>
      <c r="F27" s="542"/>
      <c r="G27" s="542"/>
      <c r="H27" s="542"/>
      <c r="I27" s="542"/>
      <c r="J27" s="568">
        <v>6000000</v>
      </c>
    </row>
    <row r="28" spans="1:10" ht="12">
      <c r="A28" s="607">
        <v>2211023</v>
      </c>
      <c r="B28" s="668" t="s">
        <v>1065</v>
      </c>
      <c r="C28" s="550">
        <v>3757000</v>
      </c>
      <c r="D28" s="542"/>
      <c r="E28" s="542"/>
      <c r="F28" s="542">
        <v>3757000</v>
      </c>
      <c r="G28" s="542"/>
      <c r="H28" s="542"/>
      <c r="I28" s="542"/>
      <c r="J28" s="568"/>
    </row>
    <row r="29" spans="1:10" ht="12">
      <c r="A29" s="607">
        <v>2211026</v>
      </c>
      <c r="B29" s="668" t="s">
        <v>1134</v>
      </c>
      <c r="C29" s="550">
        <v>25000000</v>
      </c>
      <c r="D29" s="542"/>
      <c r="E29" s="542"/>
      <c r="F29" s="542"/>
      <c r="G29" s="542"/>
      <c r="H29" s="542">
        <v>25000000</v>
      </c>
      <c r="I29" s="542"/>
      <c r="J29" s="568"/>
    </row>
    <row r="30" spans="1:10" ht="12">
      <c r="A30" s="607">
        <v>3111301</v>
      </c>
      <c r="B30" s="668" t="s">
        <v>971</v>
      </c>
      <c r="C30" s="550">
        <v>3500000</v>
      </c>
      <c r="D30" s="542">
        <v>3500000</v>
      </c>
      <c r="E30" s="542"/>
      <c r="F30" s="542"/>
      <c r="G30" s="542"/>
      <c r="H30" s="542"/>
      <c r="I30" s="542"/>
      <c r="J30" s="568"/>
    </row>
    <row r="31" spans="1:10" ht="24">
      <c r="A31" s="742">
        <v>4130201</v>
      </c>
      <c r="B31" s="571" t="s">
        <v>1429</v>
      </c>
      <c r="C31" s="743" t="e">
        <f>'Development 2017-2018'!#REF!</f>
        <v>#REF!</v>
      </c>
      <c r="D31" s="744"/>
      <c r="E31" s="744" t="e">
        <f>C31</f>
        <v>#REF!</v>
      </c>
      <c r="F31" s="744"/>
      <c r="G31" s="744"/>
      <c r="H31" s="744"/>
      <c r="I31" s="744"/>
      <c r="J31" s="745"/>
    </row>
    <row r="32" spans="1:10" ht="12">
      <c r="A32" s="539"/>
      <c r="B32" s="543" t="s">
        <v>1262</v>
      </c>
      <c r="C32" s="544" t="e">
        <f>SUM(C25:C31)</f>
        <v>#REF!</v>
      </c>
      <c r="D32" s="544">
        <f aca="true" t="shared" si="1" ref="D32:I32">SUM(D25:D31)</f>
        <v>8500000</v>
      </c>
      <c r="E32" s="544" t="e">
        <f t="shared" si="1"/>
        <v>#REF!</v>
      </c>
      <c r="F32" s="544">
        <f t="shared" si="1"/>
        <v>18292818</v>
      </c>
      <c r="G32" s="544">
        <f t="shared" si="1"/>
        <v>0</v>
      </c>
      <c r="H32" s="544">
        <f t="shared" si="1"/>
        <v>28500000</v>
      </c>
      <c r="I32" s="544">
        <f t="shared" si="1"/>
        <v>0</v>
      </c>
      <c r="J32" s="544">
        <f>SUM(J25:J31)</f>
        <v>18000000</v>
      </c>
    </row>
    <row r="33" spans="1:7" ht="12">
      <c r="A33" s="546"/>
      <c r="B33" s="547"/>
      <c r="C33" s="548"/>
      <c r="D33" s="551"/>
      <c r="E33" s="551"/>
      <c r="F33" s="551"/>
      <c r="G33" s="551"/>
    </row>
    <row r="34" spans="1:3" ht="12">
      <c r="A34" s="546"/>
      <c r="B34" s="547"/>
      <c r="C34" s="548"/>
    </row>
    <row r="35" spans="1:11" s="566" customFormat="1" ht="13.5">
      <c r="A35" s="1402" t="s">
        <v>1272</v>
      </c>
      <c r="B35" s="1402"/>
      <c r="C35" s="1402"/>
      <c r="D35" s="569" t="s">
        <v>1318</v>
      </c>
      <c r="E35" s="570"/>
      <c r="F35" s="570"/>
      <c r="G35" s="570"/>
      <c r="H35" s="570"/>
      <c r="I35" s="570"/>
      <c r="J35" s="565"/>
      <c r="K35" s="565"/>
    </row>
    <row r="36" spans="1:4" ht="12">
      <c r="A36" s="539">
        <v>3110299</v>
      </c>
      <c r="B36" s="571" t="s">
        <v>1309</v>
      </c>
      <c r="C36" s="550">
        <v>5000000</v>
      </c>
      <c r="D36" s="542">
        <v>5000000</v>
      </c>
    </row>
    <row r="37" spans="1:6" ht="12">
      <c r="A37" s="539"/>
      <c r="B37" s="543" t="s">
        <v>295</v>
      </c>
      <c r="C37" s="544">
        <f>SUM(C36)</f>
        <v>5000000</v>
      </c>
      <c r="D37" s="572">
        <f>SUM(D36)</f>
        <v>5000000</v>
      </c>
      <c r="F37" s="346" t="e">
        <f>C52-278107952</f>
        <v>#REF!</v>
      </c>
    </row>
    <row r="38" spans="1:4" ht="12">
      <c r="A38" s="546"/>
      <c r="B38" s="547"/>
      <c r="C38" s="548"/>
      <c r="D38" s="573"/>
    </row>
    <row r="39" spans="1:3" ht="12">
      <c r="A39" s="546"/>
      <c r="B39" s="547"/>
      <c r="C39" s="548"/>
    </row>
    <row r="40" spans="1:16" s="566" customFormat="1" ht="51.75" customHeight="1">
      <c r="A40" s="1405" t="s">
        <v>1273</v>
      </c>
      <c r="B40" s="1405"/>
      <c r="C40" s="1405"/>
      <c r="D40" s="574" t="s">
        <v>1319</v>
      </c>
      <c r="E40" s="574" t="s">
        <v>1320</v>
      </c>
      <c r="F40" s="574" t="s">
        <v>1321</v>
      </c>
      <c r="G40" s="574" t="s">
        <v>1322</v>
      </c>
      <c r="H40" s="575" t="s">
        <v>1310</v>
      </c>
      <c r="I40" s="606" t="s">
        <v>1323</v>
      </c>
      <c r="J40" s="606" t="s">
        <v>1336</v>
      </c>
      <c r="K40" s="606" t="s">
        <v>1337</v>
      </c>
      <c r="L40" s="606" t="s">
        <v>1338</v>
      </c>
      <c r="M40" s="606" t="s">
        <v>1339</v>
      </c>
      <c r="N40" s="606" t="s">
        <v>1340</v>
      </c>
      <c r="O40" s="606" t="s">
        <v>1341</v>
      </c>
      <c r="P40" s="599" t="s">
        <v>1342</v>
      </c>
    </row>
    <row r="41" spans="1:16" ht="13.5">
      <c r="A41" s="539">
        <v>2210504</v>
      </c>
      <c r="B41" s="576" t="s">
        <v>1274</v>
      </c>
      <c r="C41" s="550">
        <v>11000000</v>
      </c>
      <c r="D41" s="577"/>
      <c r="E41" s="578"/>
      <c r="F41" s="578"/>
      <c r="G41" s="578">
        <v>2000000</v>
      </c>
      <c r="H41" s="542">
        <v>7000000</v>
      </c>
      <c r="I41" s="542">
        <v>2000000</v>
      </c>
      <c r="J41" s="542"/>
      <c r="K41" s="542"/>
      <c r="L41" s="542"/>
      <c r="M41" s="542"/>
      <c r="N41" s="542"/>
      <c r="O41" s="542"/>
      <c r="P41" s="542"/>
    </row>
    <row r="42" spans="1:16" ht="12">
      <c r="A42" s="539">
        <v>2640503</v>
      </c>
      <c r="B42" s="571" t="s">
        <v>1275</v>
      </c>
      <c r="C42" s="550">
        <v>13000000</v>
      </c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>
        <v>13000000</v>
      </c>
      <c r="O42" s="542"/>
      <c r="P42" s="542"/>
    </row>
    <row r="43" spans="1:16" ht="12">
      <c r="A43" s="539">
        <v>3110299</v>
      </c>
      <c r="B43" s="571" t="s">
        <v>1346</v>
      </c>
      <c r="C43" s="550">
        <f>117757952+6800000-800000-17000000+1400000+1</f>
        <v>108157953</v>
      </c>
      <c r="D43" s="542"/>
      <c r="E43" s="542"/>
      <c r="F43" s="542">
        <f>C43</f>
        <v>108157953</v>
      </c>
      <c r="G43" s="542"/>
      <c r="H43" s="542"/>
      <c r="I43" s="542"/>
      <c r="J43" s="542"/>
      <c r="K43" s="542"/>
      <c r="L43" s="542"/>
      <c r="M43" s="542"/>
      <c r="N43" s="542"/>
      <c r="O43" s="542"/>
      <c r="P43" s="542"/>
    </row>
    <row r="44" spans="1:16" ht="24">
      <c r="A44" s="539">
        <v>3110504</v>
      </c>
      <c r="B44" s="571" t="s">
        <v>1276</v>
      </c>
      <c r="C44" s="550">
        <v>37000000</v>
      </c>
      <c r="D44" s="542"/>
      <c r="E44" s="542"/>
      <c r="F44" s="542"/>
      <c r="G44" s="542"/>
      <c r="H44" s="542"/>
      <c r="I44" s="542"/>
      <c r="J44" s="542"/>
      <c r="K44" s="542"/>
      <c r="L44" s="542"/>
      <c r="M44" s="542">
        <v>16000000</v>
      </c>
      <c r="N44" s="542"/>
      <c r="O44" s="542">
        <v>21000000</v>
      </c>
      <c r="P44" s="542"/>
    </row>
    <row r="45" spans="1:16" ht="12">
      <c r="A45" s="607">
        <v>2649999</v>
      </c>
      <c r="B45" s="608" t="s">
        <v>1097</v>
      </c>
      <c r="C45" s="550">
        <v>15000000</v>
      </c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>
        <v>15000000</v>
      </c>
    </row>
    <row r="46" spans="1:16" ht="24">
      <c r="A46" s="607">
        <v>2211006</v>
      </c>
      <c r="B46" s="741" t="s">
        <v>1343</v>
      </c>
      <c r="C46" s="669">
        <f>45850000+2000000</f>
        <v>47850000</v>
      </c>
      <c r="D46" s="542"/>
      <c r="E46" s="542"/>
      <c r="F46" s="542"/>
      <c r="G46" s="542"/>
      <c r="H46" s="542"/>
      <c r="I46" s="542"/>
      <c r="J46" s="542">
        <f>C46</f>
        <v>47850000</v>
      </c>
      <c r="K46" s="542"/>
      <c r="L46" s="542"/>
      <c r="M46" s="542"/>
      <c r="N46" s="542"/>
      <c r="O46" s="542"/>
      <c r="P46" s="542"/>
    </row>
    <row r="47" spans="1:16" ht="12">
      <c r="A47" s="607">
        <v>2210705</v>
      </c>
      <c r="B47" s="608" t="s">
        <v>1344</v>
      </c>
      <c r="C47" s="669">
        <v>7000000</v>
      </c>
      <c r="D47" s="542"/>
      <c r="E47" s="542"/>
      <c r="F47" s="542"/>
      <c r="G47" s="542"/>
      <c r="H47" s="542"/>
      <c r="I47" s="542"/>
      <c r="J47" s="542"/>
      <c r="K47" s="542">
        <v>7000000</v>
      </c>
      <c r="L47" s="542"/>
      <c r="M47" s="542"/>
      <c r="N47" s="542"/>
      <c r="O47" s="542"/>
      <c r="P47" s="542"/>
    </row>
    <row r="48" spans="1:16" ht="12">
      <c r="A48" s="607">
        <v>2210799</v>
      </c>
      <c r="B48" s="608" t="s">
        <v>1345</v>
      </c>
      <c r="C48" s="550">
        <v>4500000</v>
      </c>
      <c r="D48" s="542">
        <v>3000000</v>
      </c>
      <c r="E48" s="542">
        <v>1500000</v>
      </c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</row>
    <row r="49" spans="1:16" ht="12">
      <c r="A49" s="607">
        <v>2211015</v>
      </c>
      <c r="B49" s="608" t="s">
        <v>1063</v>
      </c>
      <c r="C49" s="550">
        <v>30000000</v>
      </c>
      <c r="D49" s="542">
        <v>30000000</v>
      </c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</row>
    <row r="50" spans="1:16" ht="12">
      <c r="A50" s="609">
        <v>3111401</v>
      </c>
      <c r="B50" s="608" t="s">
        <v>976</v>
      </c>
      <c r="C50" s="550">
        <v>6000000</v>
      </c>
      <c r="D50" s="542"/>
      <c r="E50" s="542"/>
      <c r="F50" s="542"/>
      <c r="G50" s="542"/>
      <c r="H50" s="542"/>
      <c r="I50" s="542"/>
      <c r="J50" s="568"/>
      <c r="K50" s="568"/>
      <c r="L50" s="542">
        <v>6000000</v>
      </c>
      <c r="M50" s="540"/>
      <c r="N50" s="540"/>
      <c r="O50" s="540"/>
      <c r="P50" s="542"/>
    </row>
    <row r="51" spans="1:16" ht="24">
      <c r="A51" s="742">
        <v>4130201</v>
      </c>
      <c r="B51" s="571" t="s">
        <v>1429</v>
      </c>
      <c r="C51" s="550" t="e">
        <f>'Development 2017-2018'!#REF!</f>
        <v>#REF!</v>
      </c>
      <c r="D51" s="542"/>
      <c r="E51" s="542"/>
      <c r="F51" s="542" t="e">
        <f>C51</f>
        <v>#REF!</v>
      </c>
      <c r="G51" s="542"/>
      <c r="H51" s="542"/>
      <c r="I51" s="542"/>
      <c r="J51" s="568"/>
      <c r="K51" s="568"/>
      <c r="L51" s="542"/>
      <c r="M51" s="540"/>
      <c r="N51" s="540"/>
      <c r="O51" s="540"/>
      <c r="P51" s="542"/>
    </row>
    <row r="52" spans="1:16" ht="12">
      <c r="A52" s="579"/>
      <c r="B52" s="543" t="s">
        <v>1262</v>
      </c>
      <c r="C52" s="544" t="e">
        <f>SUM(C41:C51)</f>
        <v>#REF!</v>
      </c>
      <c r="D52" s="544">
        <f aca="true" t="shared" si="2" ref="D52:P52">SUM(D41:D51)</f>
        <v>33000000</v>
      </c>
      <c r="E52" s="544">
        <f t="shared" si="2"/>
        <v>1500000</v>
      </c>
      <c r="F52" s="544" t="e">
        <f t="shared" si="2"/>
        <v>#REF!</v>
      </c>
      <c r="G52" s="544">
        <f t="shared" si="2"/>
        <v>2000000</v>
      </c>
      <c r="H52" s="544">
        <f t="shared" si="2"/>
        <v>7000000</v>
      </c>
      <c r="I52" s="544">
        <f t="shared" si="2"/>
        <v>2000000</v>
      </c>
      <c r="J52" s="544">
        <f t="shared" si="2"/>
        <v>47850000</v>
      </c>
      <c r="K52" s="544">
        <f t="shared" si="2"/>
        <v>7000000</v>
      </c>
      <c r="L52" s="544">
        <f t="shared" si="2"/>
        <v>6000000</v>
      </c>
      <c r="M52" s="544">
        <f t="shared" si="2"/>
        <v>16000000</v>
      </c>
      <c r="N52" s="544">
        <f t="shared" si="2"/>
        <v>13000000</v>
      </c>
      <c r="O52" s="544">
        <f t="shared" si="2"/>
        <v>21000000</v>
      </c>
      <c r="P52" s="544">
        <f t="shared" si="2"/>
        <v>15000000</v>
      </c>
    </row>
    <row r="53" spans="1:7" ht="12">
      <c r="A53" s="580"/>
      <c r="B53" s="547"/>
      <c r="C53" s="548"/>
      <c r="D53" s="551"/>
      <c r="E53" s="551"/>
      <c r="F53" s="551"/>
      <c r="G53" s="551"/>
    </row>
    <row r="54" spans="1:3" ht="12">
      <c r="A54" s="580"/>
      <c r="B54" s="547"/>
      <c r="C54" s="548"/>
    </row>
    <row r="55" spans="1:11" s="566" customFormat="1" ht="24" customHeight="1">
      <c r="A55" s="1402" t="s">
        <v>1277</v>
      </c>
      <c r="B55" s="1402"/>
      <c r="C55" s="1402"/>
      <c r="D55" s="581" t="s">
        <v>1278</v>
      </c>
      <c r="E55" s="570"/>
      <c r="F55" s="570"/>
      <c r="G55" s="747"/>
      <c r="H55" s="570"/>
      <c r="I55" s="570"/>
      <c r="J55" s="565"/>
      <c r="K55" s="565"/>
    </row>
    <row r="56" spans="1:7" ht="15.75">
      <c r="A56" s="539">
        <v>3110299</v>
      </c>
      <c r="B56" s="540" t="s">
        <v>1271</v>
      </c>
      <c r="C56" s="550">
        <f>210037290+25200000</f>
        <v>235237290</v>
      </c>
      <c r="D56" s="550">
        <f>C56</f>
        <v>235237290</v>
      </c>
      <c r="G56" s="747"/>
    </row>
    <row r="57" spans="1:4" ht="12">
      <c r="A57" s="539">
        <v>3110504</v>
      </c>
      <c r="B57" s="540" t="s">
        <v>1270</v>
      </c>
      <c r="C57" s="550">
        <f>80770000+2100000</f>
        <v>82870000</v>
      </c>
      <c r="D57" s="550">
        <f>C57</f>
        <v>82870000</v>
      </c>
    </row>
    <row r="58" spans="1:6" ht="12">
      <c r="A58" s="539">
        <v>3111101</v>
      </c>
      <c r="B58" s="540" t="s">
        <v>1279</v>
      </c>
      <c r="C58" s="550">
        <v>54800000</v>
      </c>
      <c r="D58" s="550">
        <v>54800000</v>
      </c>
      <c r="F58" s="346">
        <f>C61-480910643</f>
        <v>-83708009</v>
      </c>
    </row>
    <row r="59" spans="1:4" ht="12">
      <c r="A59" s="539">
        <v>3111299</v>
      </c>
      <c r="B59" s="540" t="s">
        <v>1280</v>
      </c>
      <c r="C59" s="550">
        <v>4295344</v>
      </c>
      <c r="D59" s="550">
        <v>4295344</v>
      </c>
    </row>
    <row r="60" spans="1:4" ht="24">
      <c r="A60" s="742">
        <v>4130201</v>
      </c>
      <c r="B60" s="571" t="s">
        <v>1429</v>
      </c>
      <c r="C60" s="550">
        <f>'Development 2017-2018'!G325</f>
        <v>20000000</v>
      </c>
      <c r="D60" s="550">
        <f>C60</f>
        <v>20000000</v>
      </c>
    </row>
    <row r="61" spans="1:4" ht="12">
      <c r="A61" s="583"/>
      <c r="B61" s="584" t="s">
        <v>295</v>
      </c>
      <c r="C61" s="585">
        <f>SUM(C56:C60)</f>
        <v>397202634</v>
      </c>
      <c r="D61" s="585">
        <f>SUM(D56:D60)</f>
        <v>397202634</v>
      </c>
    </row>
    <row r="62" spans="1:4" ht="12">
      <c r="A62" s="586"/>
      <c r="B62" s="587"/>
      <c r="C62" s="588"/>
      <c r="D62" s="589"/>
    </row>
    <row r="63" spans="1:3" ht="12">
      <c r="A63" s="586"/>
      <c r="B63" s="587"/>
      <c r="C63" s="588"/>
    </row>
    <row r="64" spans="1:11" s="566" customFormat="1" ht="24">
      <c r="A64" s="1402" t="s">
        <v>1281</v>
      </c>
      <c r="B64" s="1402"/>
      <c r="C64" s="1402"/>
      <c r="D64" s="581" t="s">
        <v>1282</v>
      </c>
      <c r="E64" s="590" t="s">
        <v>1283</v>
      </c>
      <c r="F64" s="591" t="s">
        <v>1284</v>
      </c>
      <c r="G64" s="581" t="s">
        <v>1349</v>
      </c>
      <c r="H64" s="591" t="s">
        <v>1350</v>
      </c>
      <c r="I64" s="570"/>
      <c r="J64" s="565"/>
      <c r="K64" s="565"/>
    </row>
    <row r="65" spans="1:8" ht="12">
      <c r="A65" s="539">
        <v>3111111</v>
      </c>
      <c r="B65" s="540" t="s">
        <v>1285</v>
      </c>
      <c r="C65" s="550">
        <v>20000000</v>
      </c>
      <c r="D65" s="542">
        <f>C65</f>
        <v>20000000</v>
      </c>
      <c r="E65" s="542"/>
      <c r="F65" s="542"/>
      <c r="G65" s="542"/>
      <c r="H65" s="542"/>
    </row>
    <row r="66" spans="1:8" ht="12">
      <c r="A66" s="539">
        <v>3111401</v>
      </c>
      <c r="B66" s="540" t="s">
        <v>981</v>
      </c>
      <c r="C66" s="550">
        <v>10000000</v>
      </c>
      <c r="D66" s="542"/>
      <c r="E66" s="542"/>
      <c r="F66" s="542"/>
      <c r="G66" s="542">
        <v>5000000</v>
      </c>
      <c r="H66" s="542">
        <v>5000000</v>
      </c>
    </row>
    <row r="67" spans="1:8" ht="12">
      <c r="A67" s="539">
        <v>3110504</v>
      </c>
      <c r="B67" s="540" t="s">
        <v>1270</v>
      </c>
      <c r="C67" s="550">
        <v>2000000</v>
      </c>
      <c r="D67" s="542"/>
      <c r="E67" s="542"/>
      <c r="F67" s="542">
        <v>2000000</v>
      </c>
      <c r="G67" s="542"/>
      <c r="H67" s="542"/>
    </row>
    <row r="68" spans="1:8" ht="12">
      <c r="A68" s="539">
        <v>3110704</v>
      </c>
      <c r="B68" s="540" t="s">
        <v>1348</v>
      </c>
      <c r="C68" s="550">
        <v>2000000</v>
      </c>
      <c r="D68" s="542"/>
      <c r="E68" s="542"/>
      <c r="F68" s="542">
        <v>2000000</v>
      </c>
      <c r="G68" s="542"/>
      <c r="H68" s="542"/>
    </row>
    <row r="69" spans="1:8" ht="12">
      <c r="A69" s="539">
        <v>3111001</v>
      </c>
      <c r="B69" s="540" t="s">
        <v>1347</v>
      </c>
      <c r="C69" s="550">
        <v>3700000</v>
      </c>
      <c r="D69" s="542"/>
      <c r="E69" s="542"/>
      <c r="F69" s="542">
        <v>3700000</v>
      </c>
      <c r="G69" s="542"/>
      <c r="H69" s="542"/>
    </row>
    <row r="70" spans="1:8" ht="24">
      <c r="A70" s="742">
        <v>4130201</v>
      </c>
      <c r="B70" s="571" t="s">
        <v>1429</v>
      </c>
      <c r="C70" s="550" t="e">
        <f>'Development 2017-2018'!#REF!</f>
        <v>#REF!</v>
      </c>
      <c r="D70" s="542"/>
      <c r="E70" s="542"/>
      <c r="F70" s="542" t="e">
        <f>C70</f>
        <v>#REF!</v>
      </c>
      <c r="G70" s="542"/>
      <c r="H70" s="542"/>
    </row>
    <row r="71" spans="1:8" ht="12">
      <c r="A71" s="539"/>
      <c r="B71" s="543" t="s">
        <v>1262</v>
      </c>
      <c r="C71" s="544" t="e">
        <f aca="true" t="shared" si="3" ref="C71:H71">SUM(C65:C70)</f>
        <v>#REF!</v>
      </c>
      <c r="D71" s="544">
        <f t="shared" si="3"/>
        <v>20000000</v>
      </c>
      <c r="E71" s="544">
        <f t="shared" si="3"/>
        <v>0</v>
      </c>
      <c r="F71" s="544" t="e">
        <f t="shared" si="3"/>
        <v>#REF!</v>
      </c>
      <c r="G71" s="544">
        <f t="shared" si="3"/>
        <v>5000000</v>
      </c>
      <c r="H71" s="544">
        <f t="shared" si="3"/>
        <v>5000000</v>
      </c>
    </row>
    <row r="72" spans="1:5" ht="12">
      <c r="A72" s="546"/>
      <c r="B72" s="547"/>
      <c r="C72" s="548"/>
      <c r="D72" s="551"/>
      <c r="E72" s="551"/>
    </row>
    <row r="73" spans="1:3" ht="12">
      <c r="A73" s="586"/>
      <c r="B73" s="587"/>
      <c r="C73" s="588"/>
    </row>
    <row r="74" spans="1:11" s="566" customFormat="1" ht="40.5">
      <c r="A74" s="1405" t="s">
        <v>1286</v>
      </c>
      <c r="B74" s="1405"/>
      <c r="C74" s="1405"/>
      <c r="D74" s="610" t="s">
        <v>1287</v>
      </c>
      <c r="E74" s="610" t="s">
        <v>1288</v>
      </c>
      <c r="F74" s="610" t="s">
        <v>1289</v>
      </c>
      <c r="G74" s="611" t="s">
        <v>1290</v>
      </c>
      <c r="H74" s="611" t="s">
        <v>1291</v>
      </c>
      <c r="I74" s="611" t="s">
        <v>1292</v>
      </c>
      <c r="J74" s="612" t="s">
        <v>1351</v>
      </c>
      <c r="K74" s="565"/>
    </row>
    <row r="75" spans="1:10" ht="12">
      <c r="A75" s="539">
        <v>3111401</v>
      </c>
      <c r="B75" s="592" t="s">
        <v>1293</v>
      </c>
      <c r="C75" s="550">
        <f>41000000+1000000</f>
        <v>42000000</v>
      </c>
      <c r="D75" s="542"/>
      <c r="E75" s="542"/>
      <c r="F75" s="542">
        <v>12000000</v>
      </c>
      <c r="G75" s="542">
        <v>0</v>
      </c>
      <c r="H75" s="542">
        <v>30000000</v>
      </c>
      <c r="I75" s="542"/>
      <c r="J75" s="568"/>
    </row>
    <row r="76" spans="1:10" ht="12">
      <c r="A76" s="539">
        <v>3110504</v>
      </c>
      <c r="B76" s="592" t="s">
        <v>1270</v>
      </c>
      <c r="C76" s="550">
        <f>171850000+3700000+2500000</f>
        <v>178050000</v>
      </c>
      <c r="D76" s="542">
        <f>121750000+3700000+2500000</f>
        <v>127950000</v>
      </c>
      <c r="E76" s="542">
        <v>40600000</v>
      </c>
      <c r="F76" s="542"/>
      <c r="G76" s="542"/>
      <c r="H76" s="542"/>
      <c r="I76" s="542">
        <v>9500000</v>
      </c>
      <c r="J76" s="568"/>
    </row>
    <row r="77" spans="1:10" ht="12">
      <c r="A77" s="539">
        <v>3110299</v>
      </c>
      <c r="B77" s="540" t="s">
        <v>1271</v>
      </c>
      <c r="C77" s="550">
        <f>35000000-5000000</f>
        <v>30000000</v>
      </c>
      <c r="D77" s="542">
        <v>0</v>
      </c>
      <c r="E77" s="542"/>
      <c r="F77" s="542"/>
      <c r="G77" s="542"/>
      <c r="H77" s="542"/>
      <c r="I77" s="542"/>
      <c r="J77" s="568">
        <v>30000000</v>
      </c>
    </row>
    <row r="78" spans="1:10" ht="24">
      <c r="A78" s="742">
        <v>4130201</v>
      </c>
      <c r="B78" s="571" t="s">
        <v>1429</v>
      </c>
      <c r="C78" s="550" t="e">
        <f>'Development 2017-2018'!#REF!</f>
        <v>#REF!</v>
      </c>
      <c r="D78" s="542" t="e">
        <f>C78</f>
        <v>#REF!</v>
      </c>
      <c r="E78" s="542"/>
      <c r="F78" s="542"/>
      <c r="G78" s="542"/>
      <c r="H78" s="542"/>
      <c r="I78" s="542"/>
      <c r="J78" s="568"/>
    </row>
    <row r="79" spans="1:10" ht="12">
      <c r="A79" s="579"/>
      <c r="B79" s="543" t="s">
        <v>1262</v>
      </c>
      <c r="C79" s="544" t="e">
        <f>SUM(C75:C78)</f>
        <v>#REF!</v>
      </c>
      <c r="D79" s="544" t="e">
        <f aca="true" t="shared" si="4" ref="D79:J79">SUM(D75:D78)</f>
        <v>#REF!</v>
      </c>
      <c r="E79" s="544">
        <f t="shared" si="4"/>
        <v>40600000</v>
      </c>
      <c r="F79" s="544">
        <f t="shared" si="4"/>
        <v>12000000</v>
      </c>
      <c r="G79" s="544">
        <f t="shared" si="4"/>
        <v>0</v>
      </c>
      <c r="H79" s="544">
        <f t="shared" si="4"/>
        <v>30000000</v>
      </c>
      <c r="I79" s="544">
        <f t="shared" si="4"/>
        <v>9500000</v>
      </c>
      <c r="J79" s="544">
        <f t="shared" si="4"/>
        <v>30000000</v>
      </c>
    </row>
    <row r="80" spans="1:9" ht="12">
      <c r="A80" s="580"/>
      <c r="B80" s="547"/>
      <c r="C80" s="548"/>
      <c r="D80" s="551"/>
      <c r="E80" s="551"/>
      <c r="F80" s="551"/>
      <c r="G80" s="551"/>
      <c r="H80" s="551"/>
      <c r="I80" s="551"/>
    </row>
    <row r="81" spans="1:3" ht="12">
      <c r="A81" s="580"/>
      <c r="B81" s="547"/>
      <c r="C81" s="548"/>
    </row>
    <row r="82" spans="1:11" s="566" customFormat="1" ht="27">
      <c r="A82" s="1402" t="s">
        <v>556</v>
      </c>
      <c r="B82" s="1402"/>
      <c r="C82" s="1402"/>
      <c r="D82" s="593" t="s">
        <v>1324</v>
      </c>
      <c r="E82" s="570"/>
      <c r="F82" s="570"/>
      <c r="G82" s="570"/>
      <c r="H82" s="570"/>
      <c r="I82" s="570"/>
      <c r="J82" s="565"/>
      <c r="K82" s="565"/>
    </row>
    <row r="83" spans="1:4" ht="12">
      <c r="A83" s="539">
        <v>3110499</v>
      </c>
      <c r="B83" s="540" t="s">
        <v>1294</v>
      </c>
      <c r="C83" s="550">
        <f>139204601-3000000-4000000</f>
        <v>132204601</v>
      </c>
      <c r="D83" s="550">
        <f>C83</f>
        <v>132204601</v>
      </c>
    </row>
    <row r="84" spans="1:4" ht="12">
      <c r="A84" s="539">
        <v>3110401</v>
      </c>
      <c r="B84" s="540" t="s">
        <v>1352</v>
      </c>
      <c r="C84" s="550">
        <f>194300000-20000000</f>
        <v>174300000</v>
      </c>
      <c r="D84" s="582">
        <f>C84</f>
        <v>174300000</v>
      </c>
    </row>
    <row r="85" spans="1:4" ht="24">
      <c r="A85" s="742">
        <v>4130201</v>
      </c>
      <c r="B85" s="571" t="s">
        <v>1429</v>
      </c>
      <c r="C85" s="550" t="e">
        <f>'Development 2017-2018'!#REF!</f>
        <v>#REF!</v>
      </c>
      <c r="D85" s="582" t="e">
        <f>C85</f>
        <v>#REF!</v>
      </c>
    </row>
    <row r="86" spans="1:8" ht="12">
      <c r="A86" s="579"/>
      <c r="B86" s="543" t="s">
        <v>1262</v>
      </c>
      <c r="C86" s="544" t="e">
        <f>SUM(C83:C85)</f>
        <v>#REF!</v>
      </c>
      <c r="D86" s="544" t="e">
        <f>SUM(D83:D85)</f>
        <v>#REF!</v>
      </c>
      <c r="H86" s="346" t="e">
        <f>C95-735338278</f>
        <v>#REF!</v>
      </c>
    </row>
    <row r="87" spans="1:3" ht="12">
      <c r="A87" s="580"/>
      <c r="B87" s="547"/>
      <c r="C87" s="548"/>
    </row>
    <row r="89" spans="1:11" s="614" customFormat="1" ht="56.25" customHeight="1">
      <c r="A89" s="1403" t="s">
        <v>1295</v>
      </c>
      <c r="B89" s="1403"/>
      <c r="C89" s="1403"/>
      <c r="D89" s="552" t="s">
        <v>1325</v>
      </c>
      <c r="E89" s="552" t="s">
        <v>1326</v>
      </c>
      <c r="F89" s="552" t="s">
        <v>1327</v>
      </c>
      <c r="G89" s="552" t="s">
        <v>1328</v>
      </c>
      <c r="H89" s="552" t="s">
        <v>1329</v>
      </c>
      <c r="I89" s="552" t="s">
        <v>1330</v>
      </c>
      <c r="J89" s="613"/>
      <c r="K89" s="613"/>
    </row>
    <row r="90" spans="1:9" ht="12">
      <c r="A90" s="594">
        <v>3110502</v>
      </c>
      <c r="B90" s="595" t="s">
        <v>1296</v>
      </c>
      <c r="C90" s="596">
        <v>220884521</v>
      </c>
      <c r="D90" s="542"/>
      <c r="E90" s="542"/>
      <c r="F90" s="542">
        <v>220884521</v>
      </c>
      <c r="G90" s="542"/>
      <c r="H90" s="542"/>
      <c r="I90" s="542"/>
    </row>
    <row r="91" spans="1:9" ht="12">
      <c r="A91" s="594">
        <v>3110504</v>
      </c>
      <c r="B91" s="595" t="s">
        <v>1297</v>
      </c>
      <c r="C91" s="596">
        <f>202697686-3400000+6000000+5800000</f>
        <v>211097686</v>
      </c>
      <c r="D91" s="542">
        <v>26106621</v>
      </c>
      <c r="E91" s="542">
        <f>163591065-3400000+6000000+5800000</f>
        <v>171991065</v>
      </c>
      <c r="F91" s="542"/>
      <c r="G91" s="542">
        <v>13000000</v>
      </c>
      <c r="H91" s="542"/>
      <c r="I91" s="542"/>
    </row>
    <row r="92" spans="1:9" ht="12">
      <c r="A92" s="594">
        <v>2640503</v>
      </c>
      <c r="B92" s="595" t="s">
        <v>1298</v>
      </c>
      <c r="C92" s="596">
        <f>40500000-8000000</f>
        <v>32500000</v>
      </c>
      <c r="D92" s="542"/>
      <c r="E92" s="542"/>
      <c r="F92" s="542"/>
      <c r="G92" s="542"/>
      <c r="H92" s="542"/>
      <c r="I92" s="542">
        <f>C92</f>
        <v>32500000</v>
      </c>
    </row>
    <row r="93" spans="1:9" ht="12">
      <c r="A93" s="594">
        <v>3111305</v>
      </c>
      <c r="B93" s="595" t="s">
        <v>1114</v>
      </c>
      <c r="C93" s="596">
        <v>9194077</v>
      </c>
      <c r="D93" s="615"/>
      <c r="E93" s="615"/>
      <c r="F93" s="615"/>
      <c r="G93" s="615"/>
      <c r="H93" s="615">
        <v>9194077</v>
      </c>
      <c r="I93" s="542"/>
    </row>
    <row r="94" spans="1:9" ht="24">
      <c r="A94" s="742">
        <v>4130201</v>
      </c>
      <c r="B94" s="571" t="s">
        <v>1429</v>
      </c>
      <c r="C94" s="596" t="e">
        <f>'Development 2017-2018'!#REF!</f>
        <v>#REF!</v>
      </c>
      <c r="D94" s="615"/>
      <c r="E94" s="615"/>
      <c r="F94" s="615" t="e">
        <f>C94</f>
        <v>#REF!</v>
      </c>
      <c r="G94" s="615"/>
      <c r="H94" s="615"/>
      <c r="I94" s="615"/>
    </row>
    <row r="95" spans="1:9" ht="12">
      <c r="A95" s="583"/>
      <c r="B95" s="584" t="s">
        <v>1262</v>
      </c>
      <c r="C95" s="597" t="e">
        <f>SUM(C90:C94)</f>
        <v>#REF!</v>
      </c>
      <c r="D95" s="597">
        <f aca="true" t="shared" si="5" ref="D95:I95">SUM(D90:D94)</f>
        <v>26106621</v>
      </c>
      <c r="E95" s="597">
        <f t="shared" si="5"/>
        <v>171991065</v>
      </c>
      <c r="F95" s="597" t="e">
        <f t="shared" si="5"/>
        <v>#REF!</v>
      </c>
      <c r="G95" s="597">
        <f t="shared" si="5"/>
        <v>13000000</v>
      </c>
      <c r="H95" s="597">
        <f t="shared" si="5"/>
        <v>9194077</v>
      </c>
      <c r="I95" s="597">
        <f t="shared" si="5"/>
        <v>32500000</v>
      </c>
    </row>
    <row r="96" spans="1:9" ht="12">
      <c r="A96" s="586"/>
      <c r="B96" s="587"/>
      <c r="C96" s="588"/>
      <c r="D96" s="589"/>
      <c r="E96" s="589"/>
      <c r="F96" s="589"/>
      <c r="G96" s="589"/>
      <c r="H96" s="589"/>
      <c r="I96" s="589"/>
    </row>
    <row r="98" spans="1:11" s="566" customFormat="1" ht="36">
      <c r="A98" s="1402" t="s">
        <v>1299</v>
      </c>
      <c r="B98" s="1402"/>
      <c r="C98" s="1402"/>
      <c r="D98" s="581" t="s">
        <v>1387</v>
      </c>
      <c r="E98" s="581" t="s">
        <v>1385</v>
      </c>
      <c r="F98" s="581" t="s">
        <v>1386</v>
      </c>
      <c r="G98" s="581" t="s">
        <v>1353</v>
      </c>
      <c r="H98" s="581" t="s">
        <v>1354</v>
      </c>
      <c r="I98" s="570"/>
      <c r="J98" s="565"/>
      <c r="K98" s="565"/>
    </row>
    <row r="99" spans="1:9" ht="13.5">
      <c r="A99" s="539">
        <v>2640503</v>
      </c>
      <c r="B99" s="540" t="s">
        <v>1300</v>
      </c>
      <c r="C99" s="550">
        <v>30000000</v>
      </c>
      <c r="D99" s="542"/>
      <c r="E99" s="542"/>
      <c r="F99" s="542">
        <v>30000000</v>
      </c>
      <c r="G99" s="542"/>
      <c r="H99" s="542"/>
      <c r="I99" s="598"/>
    </row>
    <row r="100" spans="1:9" ht="13.5">
      <c r="A100" s="539">
        <v>3110299</v>
      </c>
      <c r="B100" s="540" t="s">
        <v>1301</v>
      </c>
      <c r="C100" s="550">
        <v>100000000</v>
      </c>
      <c r="D100" s="542"/>
      <c r="E100" s="542">
        <v>100000000</v>
      </c>
      <c r="F100" s="542"/>
      <c r="G100" s="542"/>
      <c r="H100" s="542"/>
      <c r="I100" s="598"/>
    </row>
    <row r="101" spans="1:9" ht="13.5">
      <c r="A101" s="539">
        <v>3110901</v>
      </c>
      <c r="B101" s="540" t="s">
        <v>1302</v>
      </c>
      <c r="C101" s="550">
        <v>8000000</v>
      </c>
      <c r="D101" s="542"/>
      <c r="E101" s="542"/>
      <c r="F101" s="542"/>
      <c r="G101" s="542"/>
      <c r="H101" s="542">
        <v>8000000</v>
      </c>
      <c r="I101" s="598"/>
    </row>
    <row r="102" spans="1:9" ht="13.5">
      <c r="A102" s="594">
        <v>3110504</v>
      </c>
      <c r="B102" s="595" t="s">
        <v>1297</v>
      </c>
      <c r="C102" s="550">
        <f>29000000-2500000</f>
        <v>26500000</v>
      </c>
      <c r="D102" s="542">
        <f>19000000-2500000</f>
        <v>16500000</v>
      </c>
      <c r="E102" s="542"/>
      <c r="F102" s="542"/>
      <c r="G102" s="542"/>
      <c r="H102" s="542">
        <v>10000000</v>
      </c>
      <c r="I102" s="598"/>
    </row>
    <row r="103" spans="1:9" ht="13.5">
      <c r="A103" s="539">
        <v>2210505</v>
      </c>
      <c r="B103" s="540" t="s">
        <v>1303</v>
      </c>
      <c r="C103" s="550">
        <v>2000000</v>
      </c>
      <c r="D103" s="542"/>
      <c r="E103" s="542"/>
      <c r="F103" s="542"/>
      <c r="G103" s="542">
        <v>2000000</v>
      </c>
      <c r="H103" s="542"/>
      <c r="I103" s="598"/>
    </row>
    <row r="104" spans="1:9" ht="24">
      <c r="A104" s="742">
        <v>4130201</v>
      </c>
      <c r="B104" s="571" t="s">
        <v>1429</v>
      </c>
      <c r="C104" s="550" t="e">
        <f>'Development 2017-2018'!#REF!</f>
        <v>#REF!</v>
      </c>
      <c r="D104" s="542"/>
      <c r="E104" s="542" t="e">
        <f>C104</f>
        <v>#REF!</v>
      </c>
      <c r="F104" s="542"/>
      <c r="G104" s="542"/>
      <c r="H104" s="542"/>
      <c r="I104" s="598"/>
    </row>
    <row r="105" spans="1:9" ht="13.5">
      <c r="A105" s="579"/>
      <c r="B105" s="543" t="s">
        <v>1262</v>
      </c>
      <c r="C105" s="544" t="e">
        <f aca="true" t="shared" si="6" ref="C105:H105">SUM(C99:C104)</f>
        <v>#REF!</v>
      </c>
      <c r="D105" s="544">
        <f t="shared" si="6"/>
        <v>16500000</v>
      </c>
      <c r="E105" s="544" t="e">
        <f t="shared" si="6"/>
        <v>#REF!</v>
      </c>
      <c r="F105" s="544">
        <f t="shared" si="6"/>
        <v>30000000</v>
      </c>
      <c r="G105" s="544">
        <f t="shared" si="6"/>
        <v>2000000</v>
      </c>
      <c r="H105" s="544">
        <f t="shared" si="6"/>
        <v>18000000</v>
      </c>
      <c r="I105" s="598"/>
    </row>
    <row r="106" spans="1:9" ht="13.5">
      <c r="A106" s="580"/>
      <c r="B106" s="547"/>
      <c r="C106" s="548"/>
      <c r="D106" s="551"/>
      <c r="E106" s="551"/>
      <c r="F106" s="551"/>
      <c r="I106" s="598"/>
    </row>
    <row r="108" spans="1:11" ht="54">
      <c r="A108" s="1404" t="s">
        <v>667</v>
      </c>
      <c r="B108" s="1404"/>
      <c r="C108" s="1404"/>
      <c r="D108" s="599" t="s">
        <v>1331</v>
      </c>
      <c r="E108" s="599" t="s">
        <v>1332</v>
      </c>
      <c r="F108" s="599" t="s">
        <v>1333</v>
      </c>
      <c r="G108" s="599" t="s">
        <v>1334</v>
      </c>
      <c r="H108" s="599" t="s">
        <v>1335</v>
      </c>
      <c r="I108" s="273"/>
      <c r="J108" s="273"/>
      <c r="K108" s="273"/>
    </row>
    <row r="109" spans="1:11" ht="12">
      <c r="A109" s="539">
        <v>2210505</v>
      </c>
      <c r="B109" s="540" t="s">
        <v>1303</v>
      </c>
      <c r="C109" s="600">
        <v>20000000</v>
      </c>
      <c r="D109" s="542">
        <v>20000000</v>
      </c>
      <c r="E109" s="542"/>
      <c r="F109" s="542"/>
      <c r="G109" s="542"/>
      <c r="H109" s="542"/>
      <c r="I109" s="740"/>
      <c r="J109" s="740"/>
      <c r="K109" s="740"/>
    </row>
    <row r="110" spans="1:11" ht="12">
      <c r="A110" s="539">
        <v>3110299</v>
      </c>
      <c r="B110" s="540" t="s">
        <v>1301</v>
      </c>
      <c r="C110" s="600">
        <f>55850000+17000000-6000000-4900000</f>
        <v>61950000</v>
      </c>
      <c r="D110" s="542">
        <v>2000000</v>
      </c>
      <c r="E110" s="542">
        <v>0</v>
      </c>
      <c r="F110" s="542">
        <v>14600000</v>
      </c>
      <c r="G110" s="542"/>
      <c r="H110" s="542">
        <f>39250000+17000000-6000000-4900000</f>
        <v>45350000</v>
      </c>
      <c r="I110" s="740"/>
      <c r="J110" s="740"/>
      <c r="K110" s="740"/>
    </row>
    <row r="111" spans="1:11" ht="12">
      <c r="A111" s="539">
        <v>2640503</v>
      </c>
      <c r="B111" s="540" t="s">
        <v>1304</v>
      </c>
      <c r="C111" s="600">
        <v>30000000</v>
      </c>
      <c r="D111" s="542"/>
      <c r="E111" s="542"/>
      <c r="F111" s="542"/>
      <c r="G111" s="542">
        <v>30000000</v>
      </c>
      <c r="H111" s="542"/>
      <c r="I111" s="740"/>
      <c r="J111" s="740"/>
      <c r="K111" s="740"/>
    </row>
    <row r="112" spans="1:11" ht="24">
      <c r="A112" s="742">
        <v>4130201</v>
      </c>
      <c r="B112" s="571" t="s">
        <v>1429</v>
      </c>
      <c r="C112" s="600">
        <f>'Development 2017-2018'!G698</f>
        <v>3000000</v>
      </c>
      <c r="D112" s="615"/>
      <c r="E112" s="615"/>
      <c r="F112" s="615"/>
      <c r="G112" s="615"/>
      <c r="H112" s="542">
        <f>C112</f>
        <v>3000000</v>
      </c>
      <c r="I112" s="740"/>
      <c r="J112" s="740"/>
      <c r="K112" s="740"/>
    </row>
    <row r="113" spans="1:11" ht="12">
      <c r="A113" s="579"/>
      <c r="B113" s="543" t="s">
        <v>1262</v>
      </c>
      <c r="C113" s="601">
        <f aca="true" t="shared" si="7" ref="C113:H113">SUM(C109:C112)</f>
        <v>114950000</v>
      </c>
      <c r="D113" s="601">
        <f t="shared" si="7"/>
        <v>22000000</v>
      </c>
      <c r="E113" s="601">
        <f t="shared" si="7"/>
        <v>0</v>
      </c>
      <c r="F113" s="601">
        <f t="shared" si="7"/>
        <v>14600000</v>
      </c>
      <c r="G113" s="601">
        <f t="shared" si="7"/>
        <v>30000000</v>
      </c>
      <c r="H113" s="601">
        <f t="shared" si="7"/>
        <v>48350000</v>
      </c>
      <c r="I113" s="551">
        <f>SUM(I109:I111)</f>
        <v>0</v>
      </c>
      <c r="J113" s="551">
        <f>SUM(J109:J111)</f>
        <v>0</v>
      </c>
      <c r="K113" s="551">
        <f>SUM(K109:K111)</f>
        <v>0</v>
      </c>
    </row>
    <row r="115" spans="2:3" ht="12">
      <c r="B115" s="603" t="s">
        <v>2</v>
      </c>
      <c r="C115" s="604" t="e">
        <f>SUM(C113,C105,C95,C86,C79,C71,C61,C52,C37,C32,C21,C13,C6)</f>
        <v>#REF!</v>
      </c>
    </row>
    <row r="116" ht="12">
      <c r="E116" s="346">
        <f>C113-137721889</f>
        <v>-22771889</v>
      </c>
    </row>
    <row r="117" ht="12">
      <c r="C117" s="605" t="e">
        <f>C115+'Recurrent 2017-2018'!E1521</f>
        <v>#REF!</v>
      </c>
    </row>
  </sheetData>
  <sheetProtection/>
  <mergeCells count="15">
    <mergeCell ref="A89:C89"/>
    <mergeCell ref="A98:C98"/>
    <mergeCell ref="A108:C108"/>
    <mergeCell ref="A35:C35"/>
    <mergeCell ref="A40:C40"/>
    <mergeCell ref="A55:C55"/>
    <mergeCell ref="A64:C64"/>
    <mergeCell ref="A74:C74"/>
    <mergeCell ref="A82:C82"/>
    <mergeCell ref="A1:C1"/>
    <mergeCell ref="A2:C2"/>
    <mergeCell ref="A4:C4"/>
    <mergeCell ref="A9:C9"/>
    <mergeCell ref="A16:C16"/>
    <mergeCell ref="A24:C24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H16" sqref="H16"/>
    </sheetView>
  </sheetViews>
  <sheetFormatPr defaultColWidth="9.140625" defaultRowHeight="19.5" customHeight="1"/>
  <cols>
    <col min="1" max="1" width="46.8515625" style="1" bestFit="1" customWidth="1"/>
    <col min="2" max="2" width="14.421875" style="1" bestFit="1" customWidth="1"/>
    <col min="3" max="3" width="16.140625" style="1" bestFit="1" customWidth="1"/>
    <col min="4" max="4" width="12.28125" style="1" bestFit="1" customWidth="1"/>
    <col min="5" max="5" width="16.8515625" style="4" hidden="1" customWidth="1"/>
    <col min="6" max="6" width="14.8515625" style="4" hidden="1" customWidth="1"/>
    <col min="7" max="7" width="14.57421875" style="1" customWidth="1"/>
    <col min="8" max="16384" width="9.140625" style="1" customWidth="1"/>
  </cols>
  <sheetData>
    <row r="1" spans="1:4" ht="12.75">
      <c r="A1" s="1406" t="s">
        <v>1393</v>
      </c>
      <c r="B1" s="1407"/>
      <c r="C1" s="628"/>
      <c r="D1" s="629"/>
    </row>
    <row r="2" spans="1:4" ht="12.75">
      <c r="A2" s="630"/>
      <c r="B2" s="631"/>
      <c r="C2" s="632"/>
      <c r="D2" s="633"/>
    </row>
    <row r="3" spans="1:4" ht="13.5">
      <c r="A3" s="634" t="s">
        <v>1394</v>
      </c>
      <c r="B3" s="635" t="s">
        <v>1168</v>
      </c>
      <c r="C3" s="632"/>
      <c r="D3" s="633"/>
    </row>
    <row r="4" spans="1:4" ht="12.75">
      <c r="A4" s="636" t="s">
        <v>1395</v>
      </c>
      <c r="B4" s="637">
        <v>125000000</v>
      </c>
      <c r="C4" s="632"/>
      <c r="D4" s="633"/>
    </row>
    <row r="5" spans="1:4" ht="12.75">
      <c r="A5" s="636" t="s">
        <v>1396</v>
      </c>
      <c r="B5" s="638">
        <v>5599495638</v>
      </c>
      <c r="C5" s="632"/>
      <c r="D5" s="633"/>
    </row>
    <row r="6" spans="1:4" ht="12.75">
      <c r="A6" s="639" t="s">
        <v>9</v>
      </c>
      <c r="B6" s="640">
        <f>SUM(B4:B5)</f>
        <v>5724495638</v>
      </c>
      <c r="C6" s="632"/>
      <c r="D6" s="633"/>
    </row>
    <row r="7" spans="1:4" ht="12.75">
      <c r="A7" s="1408" t="s">
        <v>1397</v>
      </c>
      <c r="B7" s="1409"/>
      <c r="C7" s="632"/>
      <c r="D7" s="633"/>
    </row>
    <row r="8" spans="1:4" ht="12.75">
      <c r="A8" s="630" t="s">
        <v>1398</v>
      </c>
      <c r="B8" s="631">
        <v>86036213</v>
      </c>
      <c r="C8" s="632"/>
      <c r="D8" s="633"/>
    </row>
    <row r="9" spans="1:4" ht="12.75">
      <c r="A9" s="630" t="s">
        <v>1196</v>
      </c>
      <c r="B9" s="631">
        <v>25096698</v>
      </c>
      <c r="C9" s="632"/>
      <c r="D9" s="633"/>
    </row>
    <row r="10" spans="1:4" ht="12.75">
      <c r="A10" s="630" t="s">
        <v>1197</v>
      </c>
      <c r="B10" s="631">
        <v>6872636</v>
      </c>
      <c r="C10" s="632"/>
      <c r="D10" s="633"/>
    </row>
    <row r="11" spans="1:4" ht="12.75">
      <c r="A11" s="641" t="s">
        <v>1198</v>
      </c>
      <c r="B11" s="642">
        <v>7675000</v>
      </c>
      <c r="C11" s="632"/>
      <c r="D11" s="633"/>
    </row>
    <row r="12" spans="1:4" ht="12.75">
      <c r="A12" s="630" t="s">
        <v>1199</v>
      </c>
      <c r="B12" s="631">
        <v>34627134</v>
      </c>
      <c r="C12" s="632"/>
      <c r="D12" s="633"/>
    </row>
    <row r="13" spans="1:4" ht="12.75">
      <c r="A13" s="630" t="s">
        <v>1422</v>
      </c>
      <c r="B13" s="631">
        <v>29083180</v>
      </c>
      <c r="C13" s="632"/>
      <c r="D13" s="633"/>
    </row>
    <row r="14" spans="1:4" ht="12.75">
      <c r="A14" s="643" t="s">
        <v>1399</v>
      </c>
      <c r="B14" s="644">
        <f>SUM(B8:B13)</f>
        <v>189390861</v>
      </c>
      <c r="C14" s="632"/>
      <c r="D14" s="633"/>
    </row>
    <row r="15" spans="1:4" ht="12.75">
      <c r="A15" s="630" t="s">
        <v>1428</v>
      </c>
      <c r="B15" s="631">
        <v>696020760</v>
      </c>
      <c r="C15" s="632"/>
      <c r="D15" s="633"/>
    </row>
    <row r="16" spans="1:4" ht="12.75">
      <c r="A16" s="645" t="s">
        <v>1400</v>
      </c>
      <c r="B16" s="646">
        <f>SUM(B14,B6,B15)</f>
        <v>6609907259</v>
      </c>
      <c r="C16" s="632"/>
      <c r="D16" s="633"/>
    </row>
    <row r="17" spans="1:4" ht="19.5" customHeight="1">
      <c r="A17" s="647"/>
      <c r="B17" s="632"/>
      <c r="C17" s="632"/>
      <c r="D17" s="633"/>
    </row>
    <row r="18" spans="1:4" ht="19.5" customHeight="1">
      <c r="A18" s="1410" t="s">
        <v>1423</v>
      </c>
      <c r="B18" s="1411"/>
      <c r="C18" s="1411"/>
      <c r="D18" s="1412"/>
    </row>
    <row r="19" spans="1:4" ht="25.5">
      <c r="A19" s="1413" t="s">
        <v>1401</v>
      </c>
      <c r="B19" s="648" t="s">
        <v>1402</v>
      </c>
      <c r="C19" s="648" t="s">
        <v>1403</v>
      </c>
      <c r="D19" s="649" t="s">
        <v>1404</v>
      </c>
    </row>
    <row r="20" spans="1:4" ht="12.75">
      <c r="A20" s="1413"/>
      <c r="B20" s="1414" t="s">
        <v>1405</v>
      </c>
      <c r="C20" s="1414"/>
      <c r="D20" s="1415"/>
    </row>
    <row r="21" spans="1:4" ht="12.75">
      <c r="A21" s="650" t="s">
        <v>1406</v>
      </c>
      <c r="B21" s="651">
        <f>'Recurrent 2017-2018'!E133</f>
        <v>559260215</v>
      </c>
      <c r="C21" s="652">
        <f>'Development 2017-2018'!G8</f>
        <v>50000000</v>
      </c>
      <c r="D21" s="653">
        <f>SUM(B21:C21)</f>
        <v>609260215</v>
      </c>
    </row>
    <row r="22" spans="1:6" ht="12.75">
      <c r="A22" s="650" t="s">
        <v>1407</v>
      </c>
      <c r="B22" s="651">
        <f>'Recurrent 2017-2018'!E272</f>
        <v>509341104.76</v>
      </c>
      <c r="C22" s="651">
        <f>'Development 2017-2018'!G19</f>
        <v>324742341</v>
      </c>
      <c r="D22" s="653">
        <f aca="true" t="shared" si="0" ref="D22:D33">SUM(B22:C22)</f>
        <v>834083445.76</v>
      </c>
      <c r="F22" s="4">
        <v>15000000</v>
      </c>
    </row>
    <row r="23" spans="1:6" ht="12.75">
      <c r="A23" s="650" t="s">
        <v>1408</v>
      </c>
      <c r="B23" s="651">
        <f>'Recurrent 2017-2018'!E413</f>
        <v>492944469.23999995</v>
      </c>
      <c r="C23" s="651">
        <f>'Development 2017-2018'!G28</f>
        <v>45000000</v>
      </c>
      <c r="D23" s="653">
        <f t="shared" si="0"/>
        <v>537944469.24</v>
      </c>
      <c r="F23" s="4">
        <v>10000000</v>
      </c>
    </row>
    <row r="24" spans="1:6" ht="12.75">
      <c r="A24" s="650" t="s">
        <v>1409</v>
      </c>
      <c r="B24" s="651">
        <f>'Recurrent 2017-2018'!E505</f>
        <v>173282223.6</v>
      </c>
      <c r="C24" s="651">
        <f>'Development 2017-2018'!G64</f>
        <v>144800000</v>
      </c>
      <c r="D24" s="653">
        <f t="shared" si="0"/>
        <v>318082223.6</v>
      </c>
      <c r="F24" s="4">
        <v>10000000</v>
      </c>
    </row>
    <row r="25" spans="1:6" ht="12.75">
      <c r="A25" s="650" t="s">
        <v>1410</v>
      </c>
      <c r="B25" s="651">
        <f>'Recurrent 2017-2018'!E642</f>
        <v>87868540.3</v>
      </c>
      <c r="C25" s="651">
        <f>'Development 2017-2018'!G71</f>
        <v>9000000</v>
      </c>
      <c r="D25" s="653">
        <f t="shared" si="0"/>
        <v>96868540.3</v>
      </c>
      <c r="F25" s="4">
        <v>10000000</v>
      </c>
    </row>
    <row r="26" spans="1:6" ht="12.75">
      <c r="A26" s="650" t="s">
        <v>1411</v>
      </c>
      <c r="B26" s="651">
        <f>'Recurrent 2017-2018'!E708</f>
        <v>230065709.4304</v>
      </c>
      <c r="C26" s="651">
        <f>'Development 2017-2018'!G145</f>
        <v>261104081</v>
      </c>
      <c r="D26" s="653">
        <f t="shared" si="0"/>
        <v>491169790.4304</v>
      </c>
      <c r="F26" s="4">
        <v>3500000</v>
      </c>
    </row>
    <row r="27" spans="1:6" ht="12.75">
      <c r="A27" s="650" t="s">
        <v>1412</v>
      </c>
      <c r="B27" s="651">
        <f>'Recurrent 2017-2018'!E793</f>
        <v>1047929942.9200001</v>
      </c>
      <c r="C27" s="651">
        <f>'Development 2017-2018'!G328</f>
        <v>652253162.1259999</v>
      </c>
      <c r="D27" s="653">
        <f t="shared" si="0"/>
        <v>1700183105.046</v>
      </c>
      <c r="F27" s="4">
        <v>12000000</v>
      </c>
    </row>
    <row r="28" spans="1:6" ht="12.75">
      <c r="A28" s="650" t="s">
        <v>1413</v>
      </c>
      <c r="B28" s="651">
        <f>'Recurrent 2017-2018'!E902</f>
        <v>360494229.77120006</v>
      </c>
      <c r="C28" s="651">
        <f>'Development 2017-2018'!G350</f>
        <v>10000000</v>
      </c>
      <c r="D28" s="653">
        <f t="shared" si="0"/>
        <v>370494229.77120006</v>
      </c>
      <c r="F28" s="4">
        <v>4000000</v>
      </c>
    </row>
    <row r="29" spans="1:6" ht="12.75">
      <c r="A29" s="650" t="s">
        <v>1414</v>
      </c>
      <c r="B29" s="651">
        <f>'Recurrent 2017-2018'!E1041</f>
        <v>133091797.7264</v>
      </c>
      <c r="C29" s="651">
        <f>'Development 2017-2018'!G399</f>
        <v>231450000</v>
      </c>
      <c r="D29" s="653">
        <f t="shared" si="0"/>
        <v>364541797.7264</v>
      </c>
      <c r="F29" s="4">
        <v>2000000</v>
      </c>
    </row>
    <row r="30" spans="1:6" ht="12.75">
      <c r="A30" s="650" t="s">
        <v>1415</v>
      </c>
      <c r="B30" s="651">
        <f>'Recurrent 2017-2018'!E1109</f>
        <v>70566233.0252</v>
      </c>
      <c r="C30" s="651">
        <f>'Development 2017-2018'!G455</f>
        <v>609142008</v>
      </c>
      <c r="D30" s="653">
        <f t="shared" si="0"/>
        <v>679708241.0252</v>
      </c>
      <c r="F30" s="4">
        <v>1000000</v>
      </c>
    </row>
    <row r="31" spans="1:4" ht="12.75">
      <c r="A31" s="650" t="s">
        <v>1416</v>
      </c>
      <c r="B31" s="651">
        <f>'Recurrent 2017-2018'!E1244</f>
        <v>120513928.1722</v>
      </c>
      <c r="C31" s="651">
        <f>'Development 2017-2018'!G637</f>
        <v>587450000</v>
      </c>
      <c r="D31" s="653">
        <f t="shared" si="0"/>
        <v>707963928.1722</v>
      </c>
    </row>
    <row r="32" spans="1:4" ht="12.75">
      <c r="A32" s="650" t="s">
        <v>1417</v>
      </c>
      <c r="B32" s="651">
        <f>'Recurrent 2017-2018'!E1381</f>
        <v>78472050.36</v>
      </c>
      <c r="C32" s="651">
        <f>'Development 2017-2018'!G670</f>
        <v>132500000</v>
      </c>
      <c r="D32" s="653">
        <f t="shared" si="0"/>
        <v>210972050.36</v>
      </c>
    </row>
    <row r="33" spans="1:4" ht="12.75">
      <c r="A33" s="650" t="s">
        <v>1418</v>
      </c>
      <c r="B33" s="651">
        <f>'Recurrent 2017-2018'!E1519</f>
        <v>63659705.400000006</v>
      </c>
      <c r="C33" s="651">
        <f>'Development 2017-2018'!G700</f>
        <v>92500000</v>
      </c>
      <c r="D33" s="653">
        <f t="shared" si="0"/>
        <v>156159705.4</v>
      </c>
    </row>
    <row r="34" spans="1:5" ht="12.75">
      <c r="A34" s="650" t="s">
        <v>1419</v>
      </c>
      <c r="B34" s="654">
        <f>SUM(B21:B33)</f>
        <v>3927490149.7054005</v>
      </c>
      <c r="C34" s="654">
        <f>SUM(C21:C33)</f>
        <v>3149941592.126</v>
      </c>
      <c r="D34" s="655">
        <f>SUM(D21:D33)</f>
        <v>7077431741.8314</v>
      </c>
      <c r="E34" s="9">
        <v>5719495638</v>
      </c>
    </row>
    <row r="35" spans="1:6" ht="19.5" customHeight="1" hidden="1">
      <c r="A35" s="656" t="s">
        <v>1420</v>
      </c>
      <c r="B35" s="657">
        <f>B34/D34</f>
        <v>0.5549315476250851</v>
      </c>
      <c r="C35" s="657">
        <f>C34/D34</f>
        <v>0.445068452374915</v>
      </c>
      <c r="D35" s="658">
        <f>B35+C35</f>
        <v>1</v>
      </c>
      <c r="E35" s="659">
        <f>E34-D34</f>
        <v>-1357936103.8314</v>
      </c>
      <c r="F35" s="4">
        <f>SUM(F22:F34)</f>
        <v>67500000</v>
      </c>
    </row>
    <row r="36" spans="1:4" ht="19.5" customHeight="1" hidden="1">
      <c r="A36" s="630"/>
      <c r="B36" s="660"/>
      <c r="C36" s="660"/>
      <c r="D36" s="661"/>
    </row>
    <row r="37" spans="1:4" ht="19.5" customHeight="1" hidden="1">
      <c r="A37" s="662" t="s">
        <v>1421</v>
      </c>
      <c r="B37" s="663">
        <v>3328495638</v>
      </c>
      <c r="C37" s="663">
        <v>2390999999.67</v>
      </c>
      <c r="D37" s="633"/>
    </row>
    <row r="38" spans="1:4" ht="19.5" customHeight="1" hidden="1">
      <c r="A38" s="647"/>
      <c r="B38" s="664">
        <f>B34-B37</f>
        <v>598994511.7054005</v>
      </c>
      <c r="C38" s="664">
        <f>C34-C37</f>
        <v>758941592.4559999</v>
      </c>
      <c r="D38" s="633"/>
    </row>
    <row r="39" spans="1:7" ht="19.5" customHeight="1">
      <c r="A39" s="647"/>
      <c r="B39" s="632"/>
      <c r="C39" s="632"/>
      <c r="D39" s="633"/>
      <c r="G39" s="235"/>
    </row>
    <row r="40" spans="1:6" s="3" customFormat="1" ht="19.5" customHeight="1" thickBot="1">
      <c r="A40" s="665" t="s">
        <v>1424</v>
      </c>
      <c r="B40" s="666">
        <f>B34/D34</f>
        <v>0.5549315476250851</v>
      </c>
      <c r="C40" s="666">
        <f>C34/D34</f>
        <v>0.445068452374915</v>
      </c>
      <c r="D40" s="667"/>
      <c r="E40" s="9"/>
      <c r="F40" s="9"/>
    </row>
  </sheetData>
  <sheetProtection/>
  <mergeCells count="5">
    <mergeCell ref="A1:B1"/>
    <mergeCell ref="A7:B7"/>
    <mergeCell ref="A18:D18"/>
    <mergeCell ref="A19:A20"/>
    <mergeCell ref="B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B7">
      <pane xSplit="1" topLeftCell="C1" activePane="topRight" state="frozen"/>
      <selection pane="topLeft" activeCell="B5" sqref="B5"/>
      <selection pane="topRight" activeCell="Q10" sqref="Q10"/>
    </sheetView>
  </sheetViews>
  <sheetFormatPr defaultColWidth="9.140625" defaultRowHeight="15"/>
  <cols>
    <col min="1" max="1" width="16.421875" style="883" bestFit="1" customWidth="1"/>
    <col min="2" max="2" width="23.8515625" style="883" customWidth="1"/>
    <col min="3" max="3" width="18.28125" style="883" bestFit="1" customWidth="1"/>
    <col min="4" max="4" width="17.00390625" style="883" bestFit="1" customWidth="1"/>
    <col min="5" max="5" width="17.140625" style="884" bestFit="1" customWidth="1"/>
    <col min="6" max="6" width="11.140625" style="883" bestFit="1" customWidth="1"/>
    <col min="7" max="7" width="17.140625" style="883" bestFit="1" customWidth="1"/>
    <col min="8" max="9" width="17.7109375" style="883" bestFit="1" customWidth="1"/>
    <col min="10" max="10" width="16.140625" style="883" bestFit="1" customWidth="1"/>
    <col min="11" max="11" width="16.28125" style="883" bestFit="1" customWidth="1"/>
    <col min="12" max="12" width="19.00390625" style="883" bestFit="1" customWidth="1"/>
    <col min="13" max="16384" width="9.140625" style="883" customWidth="1"/>
  </cols>
  <sheetData>
    <row r="1" spans="1:12" ht="21.75" customHeight="1" thickBot="1" thickTop="1">
      <c r="A1" s="1416" t="s">
        <v>2190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8"/>
    </row>
    <row r="2" spans="1:12" ht="31.5" thickBot="1" thickTop="1">
      <c r="A2" s="919" t="s">
        <v>2183</v>
      </c>
      <c r="B2" s="981" t="s">
        <v>311</v>
      </c>
      <c r="C2" s="982" t="s">
        <v>28</v>
      </c>
      <c r="D2" s="982" t="s">
        <v>30</v>
      </c>
      <c r="E2" s="981" t="s">
        <v>27</v>
      </c>
      <c r="F2" s="981" t="s">
        <v>2188</v>
      </c>
      <c r="G2" s="982" t="s">
        <v>2189</v>
      </c>
      <c r="H2" s="981" t="s">
        <v>659</v>
      </c>
      <c r="I2" s="981" t="s">
        <v>26</v>
      </c>
      <c r="J2" s="981" t="s">
        <v>29</v>
      </c>
      <c r="K2" s="981" t="s">
        <v>38</v>
      </c>
      <c r="L2" s="981" t="s">
        <v>1262</v>
      </c>
    </row>
    <row r="3" spans="1:12" ht="15.75" thickBot="1">
      <c r="A3" s="1419" t="s">
        <v>1852</v>
      </c>
      <c r="B3" s="885" t="s">
        <v>1845</v>
      </c>
      <c r="C3" s="885">
        <v>0</v>
      </c>
      <c r="D3" s="885">
        <v>10800000</v>
      </c>
      <c r="E3" s="885">
        <v>21915000</v>
      </c>
      <c r="F3" s="885"/>
      <c r="G3" s="885">
        <f>5000000</f>
        <v>5000000</v>
      </c>
      <c r="H3" s="885">
        <v>0</v>
      </c>
      <c r="I3" s="885">
        <v>41500000</v>
      </c>
      <c r="J3" s="885"/>
      <c r="K3" s="885"/>
      <c r="L3" s="886">
        <f>SUM(C3:K3)</f>
        <v>79215000</v>
      </c>
    </row>
    <row r="4" spans="1:12" ht="15.75" thickBot="1">
      <c r="A4" s="1420"/>
      <c r="B4" s="885" t="s">
        <v>1851</v>
      </c>
      <c r="C4" s="885">
        <v>1500000</v>
      </c>
      <c r="D4" s="885">
        <v>0</v>
      </c>
      <c r="E4" s="885">
        <v>21060000</v>
      </c>
      <c r="F4" s="885"/>
      <c r="G4" s="885">
        <v>5000000</v>
      </c>
      <c r="H4" s="885">
        <v>25276752</v>
      </c>
      <c r="I4" s="885">
        <v>16500000</v>
      </c>
      <c r="J4" s="885">
        <v>6200000</v>
      </c>
      <c r="K4" s="885">
        <v>5500000</v>
      </c>
      <c r="L4" s="886">
        <f>SUM(C4:K4)</f>
        <v>81036752</v>
      </c>
    </row>
    <row r="5" spans="1:12" ht="15.75" thickBot="1">
      <c r="A5" s="1420"/>
      <c r="B5" s="885" t="s">
        <v>1852</v>
      </c>
      <c r="C5" s="885">
        <v>800000</v>
      </c>
      <c r="D5" s="885">
        <v>9000000</v>
      </c>
      <c r="E5" s="885">
        <v>9000000</v>
      </c>
      <c r="F5" s="885"/>
      <c r="G5" s="885">
        <f>9500000+3000000</f>
        <v>12500000</v>
      </c>
      <c r="H5" s="885">
        <v>0</v>
      </c>
      <c r="I5" s="885">
        <v>23000000</v>
      </c>
      <c r="J5" s="885">
        <v>500000</v>
      </c>
      <c r="K5" s="885"/>
      <c r="L5" s="886">
        <f>SUM(C5:K5)</f>
        <v>54800000</v>
      </c>
    </row>
    <row r="6" spans="1:12" ht="15.75" thickBot="1">
      <c r="A6" s="1420"/>
      <c r="B6" s="885" t="s">
        <v>18</v>
      </c>
      <c r="C6" s="885">
        <v>13000000</v>
      </c>
      <c r="D6" s="885">
        <v>7100000</v>
      </c>
      <c r="E6" s="885">
        <v>14414000</v>
      </c>
      <c r="F6" s="885"/>
      <c r="G6" s="885"/>
      <c r="H6" s="885">
        <v>0</v>
      </c>
      <c r="I6" s="885">
        <v>27800000</v>
      </c>
      <c r="J6" s="885">
        <v>500000</v>
      </c>
      <c r="K6" s="885"/>
      <c r="L6" s="886">
        <f>SUM(C6:K6)</f>
        <v>62814000</v>
      </c>
    </row>
    <row r="7" spans="1:12" ht="15.75" thickBot="1">
      <c r="A7" s="1421"/>
      <c r="B7" s="885" t="s">
        <v>21</v>
      </c>
      <c r="C7" s="885">
        <v>4000000</v>
      </c>
      <c r="D7" s="885">
        <v>4000000</v>
      </c>
      <c r="E7" s="885">
        <v>3000000</v>
      </c>
      <c r="F7" s="885"/>
      <c r="G7" s="885">
        <v>5000000</v>
      </c>
      <c r="H7" s="885">
        <v>12000000</v>
      </c>
      <c r="I7" s="885">
        <v>14400000</v>
      </c>
      <c r="J7" s="885">
        <v>500000</v>
      </c>
      <c r="K7" s="885">
        <v>5000000</v>
      </c>
      <c r="L7" s="886">
        <f>SUM(C7:K7)</f>
        <v>47900000</v>
      </c>
    </row>
    <row r="8" spans="1:12" s="967" customFormat="1" ht="15.75" thickBot="1">
      <c r="A8" s="1428" t="s">
        <v>2187</v>
      </c>
      <c r="B8" s="1429"/>
      <c r="C8" s="966">
        <f>SUM(C3:C7)</f>
        <v>19300000</v>
      </c>
      <c r="D8" s="966">
        <f aca="true" t="shared" si="0" ref="D8:K8">SUM(D3:D7)</f>
        <v>30900000</v>
      </c>
      <c r="E8" s="966">
        <f t="shared" si="0"/>
        <v>69389000</v>
      </c>
      <c r="F8" s="966">
        <f>SUM(F3:F7)</f>
        <v>0</v>
      </c>
      <c r="G8" s="966">
        <f>SUM(G3:G7)</f>
        <v>27500000</v>
      </c>
      <c r="H8" s="966">
        <f t="shared" si="0"/>
        <v>37276752</v>
      </c>
      <c r="I8" s="966">
        <f t="shared" si="0"/>
        <v>123200000</v>
      </c>
      <c r="J8" s="966">
        <f t="shared" si="0"/>
        <v>7700000</v>
      </c>
      <c r="K8" s="966">
        <f t="shared" si="0"/>
        <v>10500000</v>
      </c>
      <c r="L8" s="966">
        <f>SUM(L3:L7)</f>
        <v>325765752</v>
      </c>
    </row>
    <row r="9" spans="1:12" ht="15.75" thickBot="1">
      <c r="A9" s="1419" t="s">
        <v>2184</v>
      </c>
      <c r="B9" s="885" t="s">
        <v>1843</v>
      </c>
      <c r="C9" s="885">
        <v>0</v>
      </c>
      <c r="D9" s="885">
        <v>1000000</v>
      </c>
      <c r="E9" s="885">
        <v>9500000</v>
      </c>
      <c r="F9" s="885"/>
      <c r="G9" s="885"/>
      <c r="H9" s="885">
        <v>7000000</v>
      </c>
      <c r="I9" s="885">
        <v>25800000</v>
      </c>
      <c r="J9" s="885"/>
      <c r="K9" s="885">
        <v>1000000</v>
      </c>
      <c r="L9" s="886">
        <f>SUM(C9:K9)</f>
        <v>44300000</v>
      </c>
    </row>
    <row r="10" spans="1:12" ht="15.75" thickBot="1">
      <c r="A10" s="1420"/>
      <c r="B10" s="885" t="s">
        <v>1844</v>
      </c>
      <c r="C10" s="885">
        <v>4000000</v>
      </c>
      <c r="D10" s="885">
        <v>6000000</v>
      </c>
      <c r="E10" s="885">
        <v>11450000</v>
      </c>
      <c r="F10" s="885"/>
      <c r="G10" s="885">
        <v>1650000</v>
      </c>
      <c r="H10" s="885">
        <v>10000000</v>
      </c>
      <c r="I10" s="885">
        <v>34300000</v>
      </c>
      <c r="J10" s="885"/>
      <c r="K10" s="885">
        <v>5000000</v>
      </c>
      <c r="L10" s="886">
        <f aca="true" t="shared" si="1" ref="L10:L15">SUM(C10:K10)</f>
        <v>72400000</v>
      </c>
    </row>
    <row r="11" spans="1:12" ht="15.75" thickBot="1">
      <c r="A11" s="1420"/>
      <c r="B11" s="885" t="s">
        <v>1853</v>
      </c>
      <c r="C11" s="885">
        <v>0</v>
      </c>
      <c r="D11" s="885">
        <v>19100000</v>
      </c>
      <c r="E11" s="885">
        <v>10600000</v>
      </c>
      <c r="F11" s="885"/>
      <c r="G11" s="885">
        <f>16500000</f>
        <v>16500000</v>
      </c>
      <c r="H11" s="885">
        <v>1500000</v>
      </c>
      <c r="I11" s="885">
        <v>5000000</v>
      </c>
      <c r="J11" s="885">
        <v>500000</v>
      </c>
      <c r="K11" s="885">
        <v>1000000</v>
      </c>
      <c r="L11" s="886">
        <f t="shared" si="1"/>
        <v>54200000</v>
      </c>
    </row>
    <row r="12" spans="1:12" ht="15.75" thickBot="1">
      <c r="A12" s="1420"/>
      <c r="B12" s="885" t="s">
        <v>1856</v>
      </c>
      <c r="C12" s="885">
        <v>8000000</v>
      </c>
      <c r="D12" s="885">
        <v>5000000</v>
      </c>
      <c r="E12" s="885">
        <v>19550000</v>
      </c>
      <c r="F12" s="885"/>
      <c r="G12" s="885">
        <f>4000000+10000000</f>
        <v>14000000</v>
      </c>
      <c r="H12" s="885">
        <v>0</v>
      </c>
      <c r="I12" s="885">
        <v>49000000</v>
      </c>
      <c r="J12" s="885">
        <v>3500000</v>
      </c>
      <c r="K12" s="885">
        <v>2000000</v>
      </c>
      <c r="L12" s="886">
        <f t="shared" si="1"/>
        <v>101050000</v>
      </c>
    </row>
    <row r="13" spans="1:12" ht="15.75" thickBot="1">
      <c r="A13" s="1420"/>
      <c r="B13" s="885" t="s">
        <v>1859</v>
      </c>
      <c r="C13" s="885">
        <v>0</v>
      </c>
      <c r="D13" s="885">
        <v>7700000</v>
      </c>
      <c r="E13" s="885">
        <v>13150000</v>
      </c>
      <c r="F13" s="885"/>
      <c r="G13" s="885">
        <v>4500000</v>
      </c>
      <c r="H13" s="885">
        <f>7200000+10000000</f>
        <v>17200000</v>
      </c>
      <c r="I13" s="885">
        <v>15850000</v>
      </c>
      <c r="J13" s="885"/>
      <c r="K13" s="885"/>
      <c r="L13" s="886">
        <f t="shared" si="1"/>
        <v>58400000</v>
      </c>
    </row>
    <row r="14" spans="1:12" ht="15.75" thickBot="1">
      <c r="A14" s="1420"/>
      <c r="B14" s="885" t="s">
        <v>2186</v>
      </c>
      <c r="C14" s="885">
        <v>7000000</v>
      </c>
      <c r="D14" s="885">
        <v>10100000</v>
      </c>
      <c r="E14" s="885">
        <v>17300000</v>
      </c>
      <c r="F14" s="885"/>
      <c r="G14" s="885">
        <f>3000000+2600000</f>
        <v>5600000</v>
      </c>
      <c r="H14" s="885">
        <v>0</v>
      </c>
      <c r="I14" s="885">
        <v>6500000</v>
      </c>
      <c r="J14" s="885">
        <v>4000000</v>
      </c>
      <c r="K14" s="885">
        <v>1000000</v>
      </c>
      <c r="L14" s="886">
        <f t="shared" si="1"/>
        <v>51500000</v>
      </c>
    </row>
    <row r="15" spans="1:12" ht="15.75" thickBot="1">
      <c r="A15" s="1421"/>
      <c r="B15" s="885" t="s">
        <v>1858</v>
      </c>
      <c r="C15" s="885">
        <v>3000000</v>
      </c>
      <c r="D15" s="885">
        <v>800000</v>
      </c>
      <c r="E15" s="885">
        <v>16000000</v>
      </c>
      <c r="F15" s="885"/>
      <c r="G15" s="885"/>
      <c r="H15" s="885">
        <v>6000000</v>
      </c>
      <c r="I15" s="885">
        <v>21700000</v>
      </c>
      <c r="J15" s="885">
        <v>1200000</v>
      </c>
      <c r="K15" s="885"/>
      <c r="L15" s="886">
        <f t="shared" si="1"/>
        <v>48700000</v>
      </c>
    </row>
    <row r="16" spans="1:12" s="969" customFormat="1" ht="15.75" thickBot="1">
      <c r="A16" s="1424" t="s">
        <v>2187</v>
      </c>
      <c r="B16" s="1425"/>
      <c r="C16" s="968">
        <f>SUM(C9:C15)</f>
        <v>22000000</v>
      </c>
      <c r="D16" s="968">
        <f aca="true" t="shared" si="2" ref="D16:L16">SUM(D9:D15)</f>
        <v>49700000</v>
      </c>
      <c r="E16" s="968">
        <f t="shared" si="2"/>
        <v>97550000</v>
      </c>
      <c r="F16" s="968">
        <f>SUM(F9:F15)</f>
        <v>0</v>
      </c>
      <c r="G16" s="968">
        <f>SUM(G9:G15)</f>
        <v>42250000</v>
      </c>
      <c r="H16" s="968">
        <f t="shared" si="2"/>
        <v>41700000</v>
      </c>
      <c r="I16" s="968">
        <f t="shared" si="2"/>
        <v>158150000</v>
      </c>
      <c r="J16" s="968">
        <f t="shared" si="2"/>
        <v>9200000</v>
      </c>
      <c r="K16" s="968">
        <f t="shared" si="2"/>
        <v>10000000</v>
      </c>
      <c r="L16" s="968">
        <f t="shared" si="2"/>
        <v>430550000</v>
      </c>
    </row>
    <row r="17" spans="1:12" ht="15.75" thickBot="1">
      <c r="A17" s="1419" t="s">
        <v>1849</v>
      </c>
      <c r="B17" s="885" t="s">
        <v>1847</v>
      </c>
      <c r="C17" s="885">
        <v>14000000</v>
      </c>
      <c r="D17" s="885">
        <v>6700000</v>
      </c>
      <c r="E17" s="885">
        <v>4900000</v>
      </c>
      <c r="F17" s="885"/>
      <c r="G17" s="885">
        <f>2600000</f>
        <v>2600000</v>
      </c>
      <c r="H17" s="885"/>
      <c r="I17" s="885">
        <v>42500000</v>
      </c>
      <c r="J17" s="885">
        <v>5100000</v>
      </c>
      <c r="K17" s="885">
        <v>1000000</v>
      </c>
      <c r="L17" s="886">
        <f>SUM(C17:K17)</f>
        <v>76800000</v>
      </c>
    </row>
    <row r="18" spans="1:12" ht="15.75" thickBot="1">
      <c r="A18" s="1420"/>
      <c r="B18" s="885" t="s">
        <v>1848</v>
      </c>
      <c r="C18" s="885">
        <v>4500000</v>
      </c>
      <c r="D18" s="885">
        <v>0</v>
      </c>
      <c r="E18" s="885">
        <v>13050000</v>
      </c>
      <c r="F18" s="885"/>
      <c r="G18" s="885">
        <f>2700000</f>
        <v>2700000</v>
      </c>
      <c r="H18" s="885">
        <v>4000000</v>
      </c>
      <c r="I18" s="885">
        <v>33500000</v>
      </c>
      <c r="J18" s="885">
        <v>500000</v>
      </c>
      <c r="K18" s="885"/>
      <c r="L18" s="886">
        <f>SUM(C18:K18)</f>
        <v>58250000</v>
      </c>
    </row>
    <row r="19" spans="1:12" ht="15.75" thickBot="1">
      <c r="A19" s="1420"/>
      <c r="B19" s="885" t="s">
        <v>1849</v>
      </c>
      <c r="C19" s="885">
        <v>0</v>
      </c>
      <c r="D19" s="885">
        <v>3500000</v>
      </c>
      <c r="E19" s="885">
        <v>11700000</v>
      </c>
      <c r="F19" s="885"/>
      <c r="G19" s="885">
        <f>4000000+3200000</f>
        <v>7200000</v>
      </c>
      <c r="H19" s="885">
        <v>0</v>
      </c>
      <c r="I19" s="885">
        <v>36200000</v>
      </c>
      <c r="J19" s="885">
        <v>3000000</v>
      </c>
      <c r="K19" s="885"/>
      <c r="L19" s="886">
        <f>SUM(C19:K19)</f>
        <v>61600000</v>
      </c>
    </row>
    <row r="20" spans="1:12" ht="15.75" thickBot="1">
      <c r="A20" s="1420"/>
      <c r="B20" s="885" t="s">
        <v>1854</v>
      </c>
      <c r="C20" s="885">
        <v>4000000</v>
      </c>
      <c r="D20" s="885">
        <v>3500000</v>
      </c>
      <c r="E20" s="885">
        <v>13464162</v>
      </c>
      <c r="F20" s="885"/>
      <c r="G20" s="885"/>
      <c r="H20" s="885"/>
      <c r="I20" s="885">
        <v>26400000</v>
      </c>
      <c r="J20" s="885"/>
      <c r="K20" s="885"/>
      <c r="L20" s="886">
        <f>SUM(C20:K20)</f>
        <v>47364162</v>
      </c>
    </row>
    <row r="21" spans="1:12" ht="15.75" thickBot="1">
      <c r="A21" s="1421"/>
      <c r="B21" s="885" t="s">
        <v>1855</v>
      </c>
      <c r="C21" s="885">
        <v>5000000</v>
      </c>
      <c r="D21" s="885">
        <v>5200000</v>
      </c>
      <c r="E21" s="885">
        <v>9200000</v>
      </c>
      <c r="F21" s="885"/>
      <c r="G21" s="885"/>
      <c r="H21" s="885"/>
      <c r="I21" s="885">
        <v>20000000</v>
      </c>
      <c r="J21" s="885"/>
      <c r="K21" s="885"/>
      <c r="L21" s="886">
        <f>SUM(C21:K21)</f>
        <v>39400000</v>
      </c>
    </row>
    <row r="22" spans="1:12" s="971" customFormat="1" ht="15.75" thickBot="1">
      <c r="A22" s="1426" t="s">
        <v>2187</v>
      </c>
      <c r="B22" s="1427"/>
      <c r="C22" s="970">
        <f>SUM(C17:C21)</f>
        <v>27500000</v>
      </c>
      <c r="D22" s="970">
        <f aca="true" t="shared" si="3" ref="D22:L22">SUM(D17:D21)</f>
        <v>18900000</v>
      </c>
      <c r="E22" s="970">
        <f t="shared" si="3"/>
        <v>52314162</v>
      </c>
      <c r="F22" s="970">
        <f>SUM(F17:F21)</f>
        <v>0</v>
      </c>
      <c r="G22" s="970">
        <f>SUM(G17:G21)</f>
        <v>12500000</v>
      </c>
      <c r="H22" s="970">
        <f t="shared" si="3"/>
        <v>4000000</v>
      </c>
      <c r="I22" s="970">
        <f t="shared" si="3"/>
        <v>158600000</v>
      </c>
      <c r="J22" s="970">
        <f t="shared" si="3"/>
        <v>8600000</v>
      </c>
      <c r="K22" s="970">
        <f t="shared" si="3"/>
        <v>1000000</v>
      </c>
      <c r="L22" s="970">
        <f t="shared" si="3"/>
        <v>283414162</v>
      </c>
    </row>
    <row r="23" spans="1:12" ht="15.75" thickBot="1">
      <c r="A23" s="1419" t="s">
        <v>2185</v>
      </c>
      <c r="B23" s="885" t="s">
        <v>1846</v>
      </c>
      <c r="C23" s="885">
        <v>0</v>
      </c>
      <c r="D23" s="885">
        <v>17906000</v>
      </c>
      <c r="E23" s="885">
        <v>4000000</v>
      </c>
      <c r="F23" s="885"/>
      <c r="G23" s="885">
        <f>9700000+14000000+3000000</f>
        <v>26700000</v>
      </c>
      <c r="H23" s="885">
        <v>11576752</v>
      </c>
      <c r="I23" s="885">
        <v>22000000</v>
      </c>
      <c r="J23" s="885"/>
      <c r="K23" s="885">
        <v>2000000</v>
      </c>
      <c r="L23" s="886">
        <f>SUM(C23:K23)</f>
        <v>84182752</v>
      </c>
    </row>
    <row r="24" spans="1:12" ht="15.75" thickBot="1">
      <c r="A24" s="1420"/>
      <c r="B24" s="885" t="s">
        <v>1850</v>
      </c>
      <c r="C24" s="885">
        <v>10000000</v>
      </c>
      <c r="D24" s="885">
        <v>6100000</v>
      </c>
      <c r="E24" s="885">
        <v>18000000</v>
      </c>
      <c r="F24" s="885"/>
      <c r="G24" s="885">
        <v>12500000</v>
      </c>
      <c r="H24" s="885">
        <v>13875000</v>
      </c>
      <c r="I24" s="885">
        <v>30000000</v>
      </c>
      <c r="J24" s="885"/>
      <c r="K24" s="885">
        <v>8000000</v>
      </c>
      <c r="L24" s="886">
        <f>SUM(C24:K24)</f>
        <v>98475000</v>
      </c>
    </row>
    <row r="25" spans="1:12" ht="15.75" thickBot="1">
      <c r="A25" s="1421"/>
      <c r="B25" s="885" t="s">
        <v>1857</v>
      </c>
      <c r="C25" s="885">
        <v>5000000</v>
      </c>
      <c r="D25" s="885">
        <v>3500000</v>
      </c>
      <c r="E25" s="885">
        <v>20000000</v>
      </c>
      <c r="F25" s="885"/>
      <c r="G25" s="885">
        <v>5000000</v>
      </c>
      <c r="H25" s="885">
        <v>16000000</v>
      </c>
      <c r="I25" s="885">
        <v>13000000</v>
      </c>
      <c r="J25" s="885"/>
      <c r="K25" s="885">
        <v>1500000</v>
      </c>
      <c r="L25" s="886">
        <f>SUM(C25:K25)</f>
        <v>64000000</v>
      </c>
    </row>
    <row r="26" spans="1:12" s="973" customFormat="1" ht="15.75" thickBot="1">
      <c r="A26" s="1430" t="s">
        <v>2187</v>
      </c>
      <c r="B26" s="1431"/>
      <c r="C26" s="972">
        <f>SUM(C23:C25)</f>
        <v>15000000</v>
      </c>
      <c r="D26" s="972">
        <f aca="true" t="shared" si="4" ref="D26:L26">SUM(D23:D25)</f>
        <v>27506000</v>
      </c>
      <c r="E26" s="972">
        <f t="shared" si="4"/>
        <v>42000000</v>
      </c>
      <c r="F26" s="972">
        <f>SUM(F23:F25)</f>
        <v>0</v>
      </c>
      <c r="G26" s="972">
        <f>SUM(G23:G25)</f>
        <v>44200000</v>
      </c>
      <c r="H26" s="972">
        <f t="shared" si="4"/>
        <v>41451752</v>
      </c>
      <c r="I26" s="972">
        <f t="shared" si="4"/>
        <v>65000000</v>
      </c>
      <c r="J26" s="972">
        <f t="shared" si="4"/>
        <v>0</v>
      </c>
      <c r="K26" s="972">
        <f t="shared" si="4"/>
        <v>11500000</v>
      </c>
      <c r="L26" s="972">
        <f t="shared" si="4"/>
        <v>246657752</v>
      </c>
    </row>
    <row r="27" spans="1:12" s="975" customFormat="1" ht="15.75" thickBot="1">
      <c r="A27" s="1422" t="s">
        <v>2</v>
      </c>
      <c r="B27" s="1423"/>
      <c r="C27" s="974">
        <f>SUM(C26,C22,C16,C8)</f>
        <v>83800000</v>
      </c>
      <c r="D27" s="974">
        <f aca="true" t="shared" si="5" ref="D27:L27">SUM(D26,D22,D16,D8)</f>
        <v>127006000</v>
      </c>
      <c r="E27" s="974">
        <f t="shared" si="5"/>
        <v>261253162</v>
      </c>
      <c r="F27" s="974">
        <f>SUM(F26,F22,F16,F8)</f>
        <v>0</v>
      </c>
      <c r="G27" s="974">
        <f>SUM(G26,G22,G16,G8)</f>
        <v>126450000</v>
      </c>
      <c r="H27" s="974">
        <f t="shared" si="5"/>
        <v>124428504</v>
      </c>
      <c r="I27" s="974">
        <f t="shared" si="5"/>
        <v>504950000</v>
      </c>
      <c r="J27" s="974">
        <f t="shared" si="5"/>
        <v>25500000</v>
      </c>
      <c r="K27" s="974">
        <f t="shared" si="5"/>
        <v>33000000</v>
      </c>
      <c r="L27" s="974">
        <f t="shared" si="5"/>
        <v>1286387666</v>
      </c>
    </row>
  </sheetData>
  <sheetProtection/>
  <mergeCells count="10">
    <mergeCell ref="A1:L1"/>
    <mergeCell ref="A3:A7"/>
    <mergeCell ref="A9:A15"/>
    <mergeCell ref="A17:A21"/>
    <mergeCell ref="A23:A25"/>
    <mergeCell ref="A27:B27"/>
    <mergeCell ref="A16:B16"/>
    <mergeCell ref="A22:B22"/>
    <mergeCell ref="A8:B8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6.421875" style="883" bestFit="1" customWidth="1"/>
    <col min="2" max="2" width="55.00390625" style="883" bestFit="1" customWidth="1"/>
    <col min="3" max="3" width="19.28125" style="883" bestFit="1" customWidth="1"/>
    <col min="4" max="16384" width="9.140625" style="883" customWidth="1"/>
  </cols>
  <sheetData>
    <row r="1" spans="1:3" ht="21.75" customHeight="1" thickBot="1" thickTop="1">
      <c r="A1" s="1416" t="s">
        <v>2212</v>
      </c>
      <c r="B1" s="1417"/>
      <c r="C1" s="1418"/>
    </row>
    <row r="2" spans="1:3" ht="15.75" thickTop="1">
      <c r="A2" s="1434"/>
      <c r="B2" s="1435"/>
      <c r="C2" s="1436"/>
    </row>
    <row r="3" spans="1:3" ht="15.75">
      <c r="A3" s="976" t="s">
        <v>2030</v>
      </c>
      <c r="B3" s="912" t="s">
        <v>2029</v>
      </c>
      <c r="C3" s="977" t="s">
        <v>1892</v>
      </c>
    </row>
    <row r="4" spans="1:3" ht="15.75">
      <c r="A4" s="978">
        <v>3461</v>
      </c>
      <c r="B4" s="915" t="s">
        <v>2021</v>
      </c>
      <c r="C4" s="979">
        <v>50000000</v>
      </c>
    </row>
    <row r="5" spans="1:3" ht="15.75">
      <c r="A5" s="978">
        <v>3462</v>
      </c>
      <c r="B5" s="915" t="s">
        <v>2022</v>
      </c>
      <c r="C5" s="979">
        <f>397742341-30000000</f>
        <v>367742341</v>
      </c>
    </row>
    <row r="6" spans="1:3" ht="15.75">
      <c r="A6" s="978">
        <v>3463</v>
      </c>
      <c r="B6" s="915" t="s">
        <v>2023</v>
      </c>
      <c r="C6" s="979">
        <v>45000000</v>
      </c>
    </row>
    <row r="7" spans="1:3" ht="15.75">
      <c r="A7" s="978">
        <v>3464</v>
      </c>
      <c r="B7" s="915" t="s">
        <v>2024</v>
      </c>
      <c r="C7" s="979">
        <v>61000000</v>
      </c>
    </row>
    <row r="8" spans="1:3" ht="15.75">
      <c r="A8" s="978">
        <v>3465</v>
      </c>
      <c r="B8" s="915" t="s">
        <v>320</v>
      </c>
      <c r="C8" s="979">
        <v>9000000</v>
      </c>
    </row>
    <row r="9" spans="1:3" ht="15.75">
      <c r="A9" s="978">
        <v>3466</v>
      </c>
      <c r="B9" s="915" t="s">
        <v>2025</v>
      </c>
      <c r="C9" s="979">
        <f>251604081-127006000</f>
        <v>124598081</v>
      </c>
    </row>
    <row r="10" spans="1:3" ht="15.75">
      <c r="A10" s="978">
        <v>3467</v>
      </c>
      <c r="B10" s="915" t="s">
        <v>0</v>
      </c>
      <c r="C10" s="979">
        <f>643253162-261253162</f>
        <v>382000000</v>
      </c>
    </row>
    <row r="11" spans="1:3" ht="15.75">
      <c r="A11" s="978">
        <v>3468</v>
      </c>
      <c r="B11" s="915" t="s">
        <v>2026</v>
      </c>
      <c r="C11" s="979">
        <v>10000000</v>
      </c>
    </row>
    <row r="12" spans="1:3" ht="15.75">
      <c r="A12" s="978">
        <v>3469</v>
      </c>
      <c r="B12" s="915" t="s">
        <v>327</v>
      </c>
      <c r="C12" s="979">
        <f>231450000-126450000</f>
        <v>105000000</v>
      </c>
    </row>
    <row r="13" spans="1:3" ht="15.75">
      <c r="A13" s="978">
        <v>3470</v>
      </c>
      <c r="B13" s="915" t="s">
        <v>2027</v>
      </c>
      <c r="C13" s="979">
        <v>476213504</v>
      </c>
    </row>
    <row r="14" spans="1:3" ht="15.75">
      <c r="A14" s="978">
        <v>3471</v>
      </c>
      <c r="B14" s="915" t="s">
        <v>2028</v>
      </c>
      <c r="C14" s="979">
        <v>65000000</v>
      </c>
    </row>
    <row r="15" spans="1:3" ht="15.75">
      <c r="A15" s="978">
        <v>3472</v>
      </c>
      <c r="B15" s="915" t="s">
        <v>2031</v>
      </c>
      <c r="C15" s="979">
        <v>107000000</v>
      </c>
    </row>
    <row r="16" spans="1:3" ht="15.75">
      <c r="A16" s="978">
        <v>3473</v>
      </c>
      <c r="B16" s="915" t="s">
        <v>749</v>
      </c>
      <c r="C16" s="979">
        <v>61000000</v>
      </c>
    </row>
    <row r="17" spans="1:3" ht="16.5" thickBot="1">
      <c r="A17" s="1432" t="s">
        <v>1262</v>
      </c>
      <c r="B17" s="1433"/>
      <c r="C17" s="980">
        <f>SUM(C4:C16)</f>
        <v>1863553926</v>
      </c>
    </row>
    <row r="18" ht="15.75" thickTop="1"/>
  </sheetData>
  <sheetProtection/>
  <mergeCells count="3">
    <mergeCell ref="A17:B17"/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3" sqref="A3:E19"/>
    </sheetView>
  </sheetViews>
  <sheetFormatPr defaultColWidth="9.140625" defaultRowHeight="15"/>
  <cols>
    <col min="1" max="1" width="9.140625" style="878" customWidth="1"/>
    <col min="2" max="2" width="55.00390625" style="878" bestFit="1" customWidth="1"/>
    <col min="3" max="4" width="20.140625" style="911" bestFit="1" customWidth="1"/>
    <col min="5" max="5" width="19.7109375" style="911" bestFit="1" customWidth="1"/>
    <col min="6" max="7" width="9.140625" style="878" customWidth="1"/>
    <col min="8" max="8" width="20.421875" style="1014" bestFit="1" customWidth="1"/>
    <col min="9" max="16384" width="9.140625" style="878" customWidth="1"/>
  </cols>
  <sheetData>
    <row r="1" spans="1:5" ht="15.75">
      <c r="A1" s="1437" t="s">
        <v>2034</v>
      </c>
      <c r="B1" s="1437"/>
      <c r="C1" s="1437"/>
      <c r="D1" s="1437"/>
      <c r="E1" s="1437"/>
    </row>
    <row r="2" spans="1:5" ht="15.75">
      <c r="A2" s="1438" t="s">
        <v>2035</v>
      </c>
      <c r="B2" s="1438"/>
      <c r="C2" s="1438"/>
      <c r="D2" s="1438"/>
      <c r="E2" s="1438"/>
    </row>
    <row r="3" spans="1:5" ht="15.75">
      <c r="A3" s="1441"/>
      <c r="B3" s="1442"/>
      <c r="C3" s="1442"/>
      <c r="D3" s="1442"/>
      <c r="E3" s="1443"/>
    </row>
    <row r="4" spans="1:5" ht="15.75">
      <c r="A4" s="912" t="s">
        <v>2030</v>
      </c>
      <c r="B4" s="912" t="s">
        <v>2029</v>
      </c>
      <c r="C4" s="913" t="s">
        <v>2032</v>
      </c>
      <c r="D4" s="913" t="s">
        <v>2033</v>
      </c>
      <c r="E4" s="913" t="s">
        <v>295</v>
      </c>
    </row>
    <row r="5" spans="1:5" ht="15.75">
      <c r="A5" s="914">
        <v>3461</v>
      </c>
      <c r="B5" s="915" t="s">
        <v>2021</v>
      </c>
      <c r="C5" s="916">
        <f>'Recurrent 2017-2018'!E133</f>
        <v>559260215</v>
      </c>
      <c r="D5" s="916">
        <f>'Development 2017-2018'!G8</f>
        <v>50000000</v>
      </c>
      <c r="E5" s="916">
        <f>SUM(C5:D5)</f>
        <v>609260215</v>
      </c>
    </row>
    <row r="6" spans="1:5" ht="15.75">
      <c r="A6" s="914">
        <v>3462</v>
      </c>
      <c r="B6" s="915" t="s">
        <v>2022</v>
      </c>
      <c r="C6" s="916">
        <f>'Recurrent 2017-2018'!E272</f>
        <v>509341104.76</v>
      </c>
      <c r="D6" s="916">
        <f>'Development 2017-2018'!G19</f>
        <v>324742341</v>
      </c>
      <c r="E6" s="916">
        <f aca="true" t="shared" si="0" ref="E6:E17">SUM(C6:D6)</f>
        <v>834083445.76</v>
      </c>
    </row>
    <row r="7" spans="1:5" ht="15.75">
      <c r="A7" s="914">
        <v>3463</v>
      </c>
      <c r="B7" s="915" t="s">
        <v>2023</v>
      </c>
      <c r="C7" s="916">
        <f>'Recurrent 2017-2018'!E413</f>
        <v>492944469.23999995</v>
      </c>
      <c r="D7" s="916">
        <f>'Development 2017-2018'!G28</f>
        <v>45000000</v>
      </c>
      <c r="E7" s="916">
        <f t="shared" si="0"/>
        <v>537944469.24</v>
      </c>
    </row>
    <row r="8" spans="1:5" ht="15.75">
      <c r="A8" s="914">
        <v>3464</v>
      </c>
      <c r="B8" s="915" t="s">
        <v>2024</v>
      </c>
      <c r="C8" s="916">
        <f>'Recurrent 2017-2018'!E505</f>
        <v>173282223.6</v>
      </c>
      <c r="D8" s="916">
        <f>'Development 2017-2018'!G64</f>
        <v>144800000</v>
      </c>
      <c r="E8" s="916">
        <f t="shared" si="0"/>
        <v>318082223.6</v>
      </c>
    </row>
    <row r="9" spans="1:5" ht="15.75">
      <c r="A9" s="914">
        <v>3465</v>
      </c>
      <c r="B9" s="915" t="s">
        <v>320</v>
      </c>
      <c r="C9" s="916">
        <f>'Recurrent 2017-2018'!E642</f>
        <v>87868540.3</v>
      </c>
      <c r="D9" s="916">
        <f>'Development 2017-2018'!G71</f>
        <v>9000000</v>
      </c>
      <c r="E9" s="916">
        <f t="shared" si="0"/>
        <v>96868540.3</v>
      </c>
    </row>
    <row r="10" spans="1:5" ht="15.75">
      <c r="A10" s="914">
        <v>3466</v>
      </c>
      <c r="B10" s="915" t="s">
        <v>2025</v>
      </c>
      <c r="C10" s="916">
        <f>'Recurrent 2017-2018'!E708</f>
        <v>230065709.4304</v>
      </c>
      <c r="D10" s="916">
        <f>'Development 2017-2018'!G145</f>
        <v>261104081</v>
      </c>
      <c r="E10" s="916">
        <f t="shared" si="0"/>
        <v>491169790.4304</v>
      </c>
    </row>
    <row r="11" spans="1:5" ht="15.75">
      <c r="A11" s="914">
        <v>3467</v>
      </c>
      <c r="B11" s="915" t="s">
        <v>0</v>
      </c>
      <c r="C11" s="916">
        <f>'Recurrent 2017-2018'!E793</f>
        <v>1047929942.9200001</v>
      </c>
      <c r="D11" s="916">
        <f>'Development 2017-2018'!G328</f>
        <v>652253162.1259999</v>
      </c>
      <c r="E11" s="916">
        <f t="shared" si="0"/>
        <v>1700183105.046</v>
      </c>
    </row>
    <row r="12" spans="1:5" ht="15.75">
      <c r="A12" s="914">
        <v>3468</v>
      </c>
      <c r="B12" s="915" t="s">
        <v>2026</v>
      </c>
      <c r="C12" s="916">
        <f>'Recurrent 2017-2018'!E902</f>
        <v>360494229.77120006</v>
      </c>
      <c r="D12" s="916">
        <f>'Development 2017-2018'!G350</f>
        <v>10000000</v>
      </c>
      <c r="E12" s="916">
        <f t="shared" si="0"/>
        <v>370494229.77120006</v>
      </c>
    </row>
    <row r="13" spans="1:5" ht="15.75">
      <c r="A13" s="914">
        <v>3469</v>
      </c>
      <c r="B13" s="915" t="s">
        <v>327</v>
      </c>
      <c r="C13" s="916">
        <f>'Recurrent 2017-2018'!E1041</f>
        <v>133091797.7264</v>
      </c>
      <c r="D13" s="916">
        <f>'Development 2017-2018'!G399</f>
        <v>231450000</v>
      </c>
      <c r="E13" s="916">
        <f t="shared" si="0"/>
        <v>364541797.7264</v>
      </c>
    </row>
    <row r="14" spans="1:5" ht="15.75">
      <c r="A14" s="914">
        <v>3470</v>
      </c>
      <c r="B14" s="915" t="s">
        <v>2027</v>
      </c>
      <c r="C14" s="916">
        <f>'Recurrent 2017-2018'!E1109</f>
        <v>70566233.0252</v>
      </c>
      <c r="D14" s="916">
        <f>'Development 2017-2018'!G455</f>
        <v>609142008</v>
      </c>
      <c r="E14" s="916">
        <f t="shared" si="0"/>
        <v>679708241.0252</v>
      </c>
    </row>
    <row r="15" spans="1:5" ht="15.75">
      <c r="A15" s="914">
        <v>3471</v>
      </c>
      <c r="B15" s="915" t="s">
        <v>2028</v>
      </c>
      <c r="C15" s="916">
        <f>'Recurrent 2017-2018'!E1244</f>
        <v>120513928.1722</v>
      </c>
      <c r="D15" s="916">
        <f>'Development 2017-2018'!G637</f>
        <v>587450000</v>
      </c>
      <c r="E15" s="916">
        <f t="shared" si="0"/>
        <v>707963928.1722</v>
      </c>
    </row>
    <row r="16" spans="1:5" ht="15.75">
      <c r="A16" s="914">
        <v>3472</v>
      </c>
      <c r="B16" s="915" t="s">
        <v>2031</v>
      </c>
      <c r="C16" s="916">
        <f>'Recurrent 2017-2018'!E1381</f>
        <v>78472050.36</v>
      </c>
      <c r="D16" s="916">
        <f>'Development 2017-2018'!G670</f>
        <v>132500000</v>
      </c>
      <c r="E16" s="916">
        <f t="shared" si="0"/>
        <v>210972050.36</v>
      </c>
    </row>
    <row r="17" spans="1:5" ht="15.75">
      <c r="A17" s="914">
        <v>3473</v>
      </c>
      <c r="B17" s="915" t="s">
        <v>749</v>
      </c>
      <c r="C17" s="916">
        <f>'Recurrent 2017-2018'!E1519</f>
        <v>63659705.400000006</v>
      </c>
      <c r="D17" s="916">
        <f>'Development 2017-2018'!G700</f>
        <v>92500000</v>
      </c>
      <c r="E17" s="916">
        <f t="shared" si="0"/>
        <v>156159705.4</v>
      </c>
    </row>
    <row r="18" spans="1:5" ht="15.75">
      <c r="A18" s="1439" t="s">
        <v>1262</v>
      </c>
      <c r="B18" s="1440"/>
      <c r="C18" s="913">
        <f>SUM(C5:C17)</f>
        <v>3927490149.7054005</v>
      </c>
      <c r="D18" s="913">
        <f>SUM(D5:D17)</f>
        <v>3149941592.126</v>
      </c>
      <c r="E18" s="913">
        <f>SUM(E5:E17)</f>
        <v>7077431741.8314</v>
      </c>
    </row>
    <row r="19" spans="1:5" ht="15.75">
      <c r="A19" s="1444" t="s">
        <v>1420</v>
      </c>
      <c r="B19" s="1445"/>
      <c r="C19" s="917">
        <f>C18/E18</f>
        <v>0.5549315476250851</v>
      </c>
      <c r="D19" s="917">
        <f>D18/E18</f>
        <v>0.445068452374915</v>
      </c>
      <c r="E19" s="917">
        <f>E18/E18</f>
        <v>1</v>
      </c>
    </row>
    <row r="21" ht="15.75">
      <c r="D21" s="911">
        <f>Revenue!C36-Summary!E18</f>
        <v>0.16860008239746094</v>
      </c>
    </row>
  </sheetData>
  <sheetProtection/>
  <mergeCells count="5">
    <mergeCell ref="A1:E1"/>
    <mergeCell ref="A2:E2"/>
    <mergeCell ref="A18:B18"/>
    <mergeCell ref="A3:E3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2"/>
  <sheetViews>
    <sheetView zoomScale="120" zoomScaleNormal="120" workbookViewId="0" topLeftCell="A24">
      <selection activeCell="E35" sqref="E35"/>
    </sheetView>
  </sheetViews>
  <sheetFormatPr defaultColWidth="9.140625" defaultRowHeight="15"/>
  <cols>
    <col min="1" max="1" width="7.8515625" style="892" customWidth="1"/>
    <col min="2" max="2" width="45.8515625" style="892" customWidth="1"/>
    <col min="3" max="3" width="19.140625" style="1020" bestFit="1" customWidth="1"/>
    <col min="4" max="6" width="9.140625" style="892" customWidth="1"/>
    <col min="7" max="7" width="16.8515625" style="1020" bestFit="1" customWidth="1"/>
    <col min="8" max="8" width="12.7109375" style="1020" bestFit="1" customWidth="1"/>
    <col min="9" max="10" width="14.57421875" style="1020" bestFit="1" customWidth="1"/>
    <col min="11" max="16384" width="9.140625" style="892" customWidth="1"/>
  </cols>
  <sheetData>
    <row r="1" spans="1:3" ht="15">
      <c r="A1" s="1448"/>
      <c r="B1" s="1448"/>
      <c r="C1" s="1448"/>
    </row>
    <row r="2" spans="1:3" ht="15">
      <c r="A2" s="1449" t="s">
        <v>1258</v>
      </c>
      <c r="B2" s="1449"/>
      <c r="C2" s="1449"/>
    </row>
    <row r="3" spans="1:3" ht="15">
      <c r="A3" s="1449"/>
      <c r="B3" s="1449"/>
      <c r="C3" s="1449"/>
    </row>
    <row r="4" spans="1:3" ht="15">
      <c r="A4" s="1450" t="s">
        <v>2226</v>
      </c>
      <c r="B4" s="1450"/>
      <c r="C4" s="1450"/>
    </row>
    <row r="5" spans="1:3" ht="15">
      <c r="A5" s="1450"/>
      <c r="B5" s="1450"/>
      <c r="C5" s="1450"/>
    </row>
    <row r="6" spans="1:3" ht="15">
      <c r="A6" s="1450"/>
      <c r="B6" s="1450"/>
      <c r="C6" s="1450"/>
    </row>
    <row r="7" spans="1:3" ht="45">
      <c r="A7" s="1021" t="s">
        <v>2227</v>
      </c>
      <c r="B7" s="1022" t="s">
        <v>2228</v>
      </c>
      <c r="C7" s="1023" t="s">
        <v>2229</v>
      </c>
    </row>
    <row r="8" spans="1:3" ht="15">
      <c r="A8" s="1024">
        <v>1</v>
      </c>
      <c r="B8" s="1025" t="s">
        <v>1396</v>
      </c>
      <c r="C8" s="1026">
        <v>6583600000</v>
      </c>
    </row>
    <row r="9" spans="1:3" ht="15">
      <c r="A9" s="1024">
        <v>2</v>
      </c>
      <c r="B9" s="1025" t="s">
        <v>1398</v>
      </c>
      <c r="C9" s="1027">
        <v>221107010</v>
      </c>
    </row>
    <row r="10" spans="1:3" ht="15">
      <c r="A10" s="1024">
        <v>3</v>
      </c>
      <c r="B10" s="1025" t="s">
        <v>2230</v>
      </c>
      <c r="C10" s="1027">
        <v>45748545</v>
      </c>
    </row>
    <row r="11" spans="1:3" ht="15">
      <c r="A11" s="1024">
        <v>4</v>
      </c>
      <c r="B11" s="1025" t="s">
        <v>2231</v>
      </c>
      <c r="C11" s="1027">
        <v>23934392</v>
      </c>
    </row>
    <row r="12" spans="1:3" ht="15">
      <c r="A12" s="1024">
        <v>5</v>
      </c>
      <c r="B12" s="1025" t="s">
        <v>1197</v>
      </c>
      <c r="C12" s="1027">
        <v>6643714</v>
      </c>
    </row>
    <row r="13" spans="1:3" ht="15">
      <c r="A13" s="1024">
        <v>6</v>
      </c>
      <c r="B13" s="1025" t="s">
        <v>2042</v>
      </c>
      <c r="C13" s="1028">
        <v>29598081</v>
      </c>
    </row>
    <row r="14" spans="1:3" ht="15">
      <c r="A14" s="1024">
        <v>7</v>
      </c>
      <c r="B14" s="1025" t="s">
        <v>1199</v>
      </c>
      <c r="C14" s="1027">
        <v>36800000</v>
      </c>
    </row>
    <row r="15" spans="1:3" ht="15">
      <c r="A15" s="1024">
        <v>8</v>
      </c>
      <c r="B15" s="1025" t="s">
        <v>2232</v>
      </c>
      <c r="C15" s="1029">
        <v>3243468</v>
      </c>
    </row>
    <row r="16" spans="1:3" ht="15">
      <c r="A16" s="1024">
        <v>9</v>
      </c>
      <c r="B16" s="1025" t="s">
        <v>2233</v>
      </c>
      <c r="C16" s="1029">
        <f>17460015+2200000</f>
        <v>19660015</v>
      </c>
    </row>
    <row r="17" spans="1:3" ht="15">
      <c r="A17" s="1024">
        <v>10</v>
      </c>
      <c r="B17" s="1025" t="s">
        <v>2234</v>
      </c>
      <c r="C17" s="1029">
        <v>6395229</v>
      </c>
    </row>
    <row r="18" spans="1:3" ht="15">
      <c r="A18" s="1024">
        <v>11</v>
      </c>
      <c r="B18" s="1025" t="s">
        <v>2235</v>
      </c>
      <c r="C18" s="1029">
        <v>15953205</v>
      </c>
    </row>
    <row r="19" spans="1:3" ht="15">
      <c r="A19" s="1024">
        <v>12</v>
      </c>
      <c r="B19" s="1025" t="s">
        <v>2236</v>
      </c>
      <c r="C19" s="1029">
        <v>200629</v>
      </c>
    </row>
    <row r="20" spans="1:3" ht="15">
      <c r="A20" s="1024">
        <v>13</v>
      </c>
      <c r="B20" s="1025" t="s">
        <v>2237</v>
      </c>
      <c r="C20" s="1029">
        <v>1147508</v>
      </c>
    </row>
    <row r="21" spans="1:3" ht="15">
      <c r="A21" s="1024">
        <v>14</v>
      </c>
      <c r="B21" s="1025" t="s">
        <v>2238</v>
      </c>
      <c r="C21" s="1029">
        <v>131516</v>
      </c>
    </row>
    <row r="22" spans="1:3" ht="15">
      <c r="A22" s="1024">
        <v>15</v>
      </c>
      <c r="B22" s="1025" t="s">
        <v>2239</v>
      </c>
      <c r="C22" s="1030">
        <v>3198269</v>
      </c>
    </row>
    <row r="23" spans="1:3" ht="15">
      <c r="A23" s="1024">
        <v>16</v>
      </c>
      <c r="B23" s="1025" t="s">
        <v>2240</v>
      </c>
      <c r="C23" s="1030">
        <v>18901598</v>
      </c>
    </row>
    <row r="24" spans="1:3" ht="15">
      <c r="A24" s="1024">
        <v>17</v>
      </c>
      <c r="B24" s="1025" t="s">
        <v>2241</v>
      </c>
      <c r="C24" s="1031">
        <f>22569423+2000000</f>
        <v>24569423</v>
      </c>
    </row>
    <row r="25" spans="1:3" ht="15">
      <c r="A25" s="1024">
        <v>18</v>
      </c>
      <c r="B25" s="1025" t="s">
        <v>2242</v>
      </c>
      <c r="C25" s="1031">
        <v>1671315</v>
      </c>
    </row>
    <row r="26" spans="1:3" ht="15">
      <c r="A26" s="1024">
        <v>19</v>
      </c>
      <c r="B26" s="1025" t="s">
        <v>2243</v>
      </c>
      <c r="C26" s="1031">
        <v>3660000</v>
      </c>
    </row>
    <row r="27" spans="1:3" ht="15">
      <c r="A27" s="1024">
        <v>20</v>
      </c>
      <c r="B27" s="1025" t="s">
        <v>2244</v>
      </c>
      <c r="C27" s="1031">
        <v>76860</v>
      </c>
    </row>
    <row r="28" spans="1:3" ht="15">
      <c r="A28" s="1024">
        <v>21</v>
      </c>
      <c r="B28" s="1025" t="s">
        <v>2245</v>
      </c>
      <c r="C28" s="1031">
        <v>2316642</v>
      </c>
    </row>
    <row r="29" spans="1:3" ht="15">
      <c r="A29" s="1024">
        <v>22</v>
      </c>
      <c r="B29" s="1025" t="s">
        <v>2246</v>
      </c>
      <c r="C29" s="1031">
        <v>5322738</v>
      </c>
    </row>
    <row r="30" spans="1:3" ht="15">
      <c r="A30" s="1024">
        <v>23</v>
      </c>
      <c r="B30" s="1025" t="s">
        <v>2247</v>
      </c>
      <c r="C30" s="1031">
        <v>15976417</v>
      </c>
    </row>
    <row r="31" spans="1:3" ht="15">
      <c r="A31" s="1024">
        <v>24</v>
      </c>
      <c r="B31" s="1025" t="s">
        <v>2248</v>
      </c>
      <c r="C31" s="1031">
        <v>2569381</v>
      </c>
    </row>
    <row r="32" spans="1:3" ht="15">
      <c r="A32" s="1024">
        <v>25</v>
      </c>
      <c r="B32" s="1025" t="s">
        <v>2249</v>
      </c>
      <c r="C32" s="1031">
        <v>302018</v>
      </c>
    </row>
    <row r="33" spans="1:3" ht="15">
      <c r="A33" s="1024">
        <v>26</v>
      </c>
      <c r="B33" s="1025" t="s">
        <v>2250</v>
      </c>
      <c r="C33" s="1032">
        <v>800000</v>
      </c>
    </row>
    <row r="34" spans="1:3" ht="15">
      <c r="A34" s="1024">
        <v>27</v>
      </c>
      <c r="B34" s="1025" t="s">
        <v>2251</v>
      </c>
      <c r="C34" s="1032">
        <v>2733769</v>
      </c>
    </row>
    <row r="35" spans="1:3" ht="15">
      <c r="A35" s="1024">
        <v>28</v>
      </c>
      <c r="B35" s="1025" t="s">
        <v>2252</v>
      </c>
      <c r="C35" s="1033">
        <v>1170000</v>
      </c>
    </row>
    <row r="36" spans="1:10" s="1035" customFormat="1" ht="15">
      <c r="A36" s="1446" t="s">
        <v>1262</v>
      </c>
      <c r="B36" s="1447"/>
      <c r="C36" s="1034">
        <f>SUM(C8:C35)</f>
        <v>7077431742</v>
      </c>
      <c r="G36" s="1036"/>
      <c r="H36" s="1036"/>
      <c r="I36" s="1036"/>
      <c r="J36" s="1036"/>
    </row>
    <row r="37" spans="1:3" ht="15">
      <c r="A37" s="1037"/>
      <c r="B37" s="1038"/>
      <c r="C37" s="1039"/>
    </row>
    <row r="38" spans="1:3" ht="15">
      <c r="A38" s="1037"/>
      <c r="B38" s="1038"/>
      <c r="C38" s="1039"/>
    </row>
    <row r="39" spans="1:3" ht="15">
      <c r="A39" s="1037"/>
      <c r="B39" s="1040"/>
      <c r="C39" s="1039"/>
    </row>
    <row r="40" spans="1:3" ht="15">
      <c r="A40" s="1037"/>
      <c r="B40" s="1040"/>
      <c r="C40" s="1039"/>
    </row>
    <row r="41" spans="1:3" ht="15">
      <c r="A41" s="1037"/>
      <c r="B41" s="1040"/>
      <c r="C41" s="1039"/>
    </row>
    <row r="42" spans="1:3" ht="15">
      <c r="A42" s="1041"/>
      <c r="B42" s="1042"/>
      <c r="C42" s="1043"/>
    </row>
  </sheetData>
  <sheetProtection/>
  <mergeCells count="7">
    <mergeCell ref="A36:B36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3.28125" style="878" bestFit="1" customWidth="1"/>
    <col min="2" max="2" width="17.00390625" style="911" bestFit="1" customWidth="1"/>
    <col min="3" max="3" width="17.8515625" style="911" bestFit="1" customWidth="1"/>
    <col min="4" max="8" width="9.140625" style="878" customWidth="1"/>
    <col min="9" max="9" width="12.140625" style="878" bestFit="1" customWidth="1"/>
    <col min="10" max="16384" width="9.140625" style="878" customWidth="1"/>
  </cols>
  <sheetData>
    <row r="2" spans="1:3" ht="15.75">
      <c r="A2" s="921"/>
      <c r="B2" s="925" t="s">
        <v>1930</v>
      </c>
      <c r="C2" s="925" t="s">
        <v>1929</v>
      </c>
    </row>
    <row r="3" spans="1:3" ht="15.75">
      <c r="A3" s="921" t="s">
        <v>2037</v>
      </c>
      <c r="B3" s="923">
        <f>559260215-510450000</f>
        <v>48810215</v>
      </c>
      <c r="C3" s="923">
        <v>15000000</v>
      </c>
    </row>
    <row r="4" spans="1:3" ht="15.75">
      <c r="A4" s="921" t="s">
        <v>2038</v>
      </c>
      <c r="B4" s="923">
        <f>'Summary (2)'!C6-394734302</f>
        <v>114606802.75999999</v>
      </c>
      <c r="C4" s="923">
        <f>'[6]Development 2017-2018'!$G$18-289000000</f>
        <v>78742341</v>
      </c>
    </row>
    <row r="5" spans="1:3" ht="15.75">
      <c r="A5" s="921" t="s">
        <v>2039</v>
      </c>
      <c r="B5" s="923">
        <f>100000000+30000000</f>
        <v>130000000</v>
      </c>
      <c r="C5" s="923">
        <v>30000000</v>
      </c>
    </row>
    <row r="6" spans="1:3" ht="15.75">
      <c r="A6" s="921" t="s">
        <v>28</v>
      </c>
      <c r="B6" s="923"/>
      <c r="C6" s="923"/>
    </row>
    <row r="7" spans="1:9" ht="15.75">
      <c r="A7" s="921" t="s">
        <v>26</v>
      </c>
      <c r="B7" s="923"/>
      <c r="C7" s="923">
        <v>50000000</v>
      </c>
      <c r="I7" s="922">
        <v>559260215</v>
      </c>
    </row>
    <row r="8" spans="1:3" ht="15.75">
      <c r="A8" s="921" t="s">
        <v>659</v>
      </c>
      <c r="B8" s="923"/>
      <c r="C8" s="923"/>
    </row>
    <row r="9" spans="1:9" ht="15.75">
      <c r="A9" s="921" t="s">
        <v>29</v>
      </c>
      <c r="B9" s="923"/>
      <c r="C9" s="923"/>
      <c r="I9" s="920">
        <f>I7-510450000</f>
        <v>48810215</v>
      </c>
    </row>
    <row r="10" spans="1:3" ht="15.75">
      <c r="A10" s="921" t="s">
        <v>2197</v>
      </c>
      <c r="B10" s="923">
        <v>200000000</v>
      </c>
      <c r="C10" s="923"/>
    </row>
    <row r="11" spans="1:3" ht="15.75">
      <c r="A11" s="921"/>
      <c r="B11" s="923"/>
      <c r="C11" s="923"/>
    </row>
    <row r="12" spans="1:3" s="880" customFormat="1" ht="15.75">
      <c r="A12" s="924"/>
      <c r="B12" s="925">
        <f>SUM(B3:B11)</f>
        <v>493417017.76</v>
      </c>
      <c r="C12" s="925">
        <f>SUM(C3:C11)</f>
        <v>173742341</v>
      </c>
    </row>
    <row r="15" spans="2:3" ht="15.75">
      <c r="B15" s="891"/>
      <c r="C15" s="903">
        <f>B12+C12</f>
        <v>667159358.76</v>
      </c>
    </row>
    <row r="16" ht="15.75">
      <c r="C16" s="911">
        <f>607818254-C15</f>
        <v>-59341104.75999999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B6">
      <selection activeCell="G26" sqref="G26"/>
    </sheetView>
  </sheetViews>
  <sheetFormatPr defaultColWidth="9.140625" defaultRowHeight="15"/>
  <cols>
    <col min="1" max="1" width="9.140625" style="878" customWidth="1"/>
    <col min="2" max="2" width="53.140625" style="878" customWidth="1"/>
    <col min="3" max="3" width="19.7109375" style="911" bestFit="1" customWidth="1"/>
    <col min="4" max="5" width="20.140625" style="911" bestFit="1" customWidth="1"/>
    <col min="6" max="7" width="20.140625" style="911" customWidth="1"/>
    <col min="8" max="9" width="19.7109375" style="878" bestFit="1" customWidth="1"/>
    <col min="10" max="10" width="20.140625" style="878" bestFit="1" customWidth="1"/>
    <col min="11" max="16384" width="9.140625" style="878" customWidth="1"/>
  </cols>
  <sheetData>
    <row r="1" spans="1:10" ht="15.75">
      <c r="A1" s="1451" t="s">
        <v>2034</v>
      </c>
      <c r="B1" s="1452"/>
      <c r="C1" s="1452"/>
      <c r="D1" s="1452"/>
      <c r="E1" s="1452"/>
      <c r="F1" s="1452"/>
      <c r="G1" s="1452"/>
      <c r="H1" s="1452"/>
      <c r="I1" s="1452"/>
      <c r="J1" s="1453"/>
    </row>
    <row r="2" spans="1:10" ht="15.75">
      <c r="A2" s="1441" t="s">
        <v>2192</v>
      </c>
      <c r="B2" s="1442"/>
      <c r="C2" s="1442"/>
      <c r="D2" s="1442"/>
      <c r="E2" s="1442"/>
      <c r="F2" s="1442"/>
      <c r="G2" s="1442"/>
      <c r="H2" s="1442"/>
      <c r="I2" s="1442"/>
      <c r="J2" s="1443"/>
    </row>
    <row r="3" spans="1:10" ht="15.75">
      <c r="A3" s="986"/>
      <c r="B3" s="915"/>
      <c r="C3" s="1442" t="s">
        <v>2193</v>
      </c>
      <c r="D3" s="1442"/>
      <c r="E3" s="1443"/>
      <c r="F3" s="985"/>
      <c r="G3" s="985"/>
      <c r="H3" s="1454">
        <v>42795</v>
      </c>
      <c r="I3" s="1442"/>
      <c r="J3" s="1443"/>
    </row>
    <row r="4" spans="1:10" ht="15.75">
      <c r="A4" s="912" t="s">
        <v>2030</v>
      </c>
      <c r="B4" s="912" t="s">
        <v>2029</v>
      </c>
      <c r="C4" s="913" t="s">
        <v>2032</v>
      </c>
      <c r="D4" s="913" t="s">
        <v>2033</v>
      </c>
      <c r="E4" s="913" t="s">
        <v>295</v>
      </c>
      <c r="F4" s="913" t="s">
        <v>2198</v>
      </c>
      <c r="G4" s="913" t="s">
        <v>2199</v>
      </c>
      <c r="H4" s="913" t="s">
        <v>2032</v>
      </c>
      <c r="I4" s="913" t="s">
        <v>2033</v>
      </c>
      <c r="J4" s="913" t="s">
        <v>295</v>
      </c>
    </row>
    <row r="5" spans="1:10" ht="15.75">
      <c r="A5" s="914">
        <v>3461</v>
      </c>
      <c r="B5" s="915" t="s">
        <v>2021</v>
      </c>
      <c r="C5" s="916">
        <f>'Recurrent 2017-2018'!E133</f>
        <v>559260215</v>
      </c>
      <c r="D5" s="916">
        <f>'Development 2017-2018'!G8</f>
        <v>50000000</v>
      </c>
      <c r="E5" s="916">
        <f>SUM(C5:D5)</f>
        <v>609260215</v>
      </c>
      <c r="F5" s="916">
        <f>C5-H5</f>
        <v>48810215</v>
      </c>
      <c r="G5" s="916">
        <f>D5-I5</f>
        <v>15000000</v>
      </c>
      <c r="H5" s="916">
        <v>510450000</v>
      </c>
      <c r="I5" s="916">
        <v>35000000</v>
      </c>
      <c r="J5" s="916">
        <f>SUM(H5:I5)</f>
        <v>545450000</v>
      </c>
    </row>
    <row r="6" spans="1:10" ht="15.75">
      <c r="A6" s="914">
        <v>3462</v>
      </c>
      <c r="B6" s="915" t="s">
        <v>2022</v>
      </c>
      <c r="C6" s="916">
        <f>'Recurrent 2017-2018'!E272</f>
        <v>509341104.76</v>
      </c>
      <c r="D6" s="916">
        <f>'Development 2017-2018'!G19</f>
        <v>324742341</v>
      </c>
      <c r="E6" s="916">
        <f aca="true" t="shared" si="0" ref="E6:E17">SUM(C6:D6)</f>
        <v>834083445.76</v>
      </c>
      <c r="F6" s="916">
        <f aca="true" t="shared" si="1" ref="F6:F18">C6-H6</f>
        <v>114606803</v>
      </c>
      <c r="G6" s="916">
        <f aca="true" t="shared" si="2" ref="G6:G18">D6-I6</f>
        <v>35742341</v>
      </c>
      <c r="H6" s="916">
        <v>394734301.76</v>
      </c>
      <c r="I6" s="916">
        <v>289000000</v>
      </c>
      <c r="J6" s="916">
        <f aca="true" t="shared" si="3" ref="J6:J17">SUM(H6:I6)</f>
        <v>683734301.76</v>
      </c>
    </row>
    <row r="7" spans="1:10" ht="15.75">
      <c r="A7" s="914">
        <v>3463</v>
      </c>
      <c r="B7" s="915" t="s">
        <v>2023</v>
      </c>
      <c r="C7" s="916">
        <f>'Recurrent 2017-2018'!E413</f>
        <v>492944469.23999995</v>
      </c>
      <c r="D7" s="916">
        <f>'Development 2017-2018'!G28</f>
        <v>45000000</v>
      </c>
      <c r="E7" s="916">
        <f t="shared" si="0"/>
        <v>537944469.24</v>
      </c>
      <c r="F7" s="916">
        <f t="shared" si="1"/>
        <v>121577958</v>
      </c>
      <c r="G7" s="916">
        <f t="shared" si="2"/>
        <v>25000000</v>
      </c>
      <c r="H7" s="916">
        <v>371366511.23999995</v>
      </c>
      <c r="I7" s="916">
        <v>20000000</v>
      </c>
      <c r="J7" s="916">
        <f t="shared" si="3"/>
        <v>391366511.23999995</v>
      </c>
    </row>
    <row r="8" spans="1:10" ht="15.75">
      <c r="A8" s="914">
        <v>3464</v>
      </c>
      <c r="B8" s="915" t="s">
        <v>2024</v>
      </c>
      <c r="C8" s="916">
        <f>'Recurrent 2017-2018'!E505</f>
        <v>173282223.6</v>
      </c>
      <c r="D8" s="916">
        <f>'Development 2017-2018'!G64</f>
        <v>144800000</v>
      </c>
      <c r="E8" s="916">
        <f t="shared" si="0"/>
        <v>318082223.6</v>
      </c>
      <c r="F8" s="916">
        <f t="shared" si="1"/>
        <v>6016237</v>
      </c>
      <c r="G8" s="916">
        <f t="shared" si="2"/>
        <v>-93000000</v>
      </c>
      <c r="H8" s="916">
        <v>167265986.6</v>
      </c>
      <c r="I8" s="916">
        <v>237800000</v>
      </c>
      <c r="J8" s="916">
        <f t="shared" si="3"/>
        <v>405065986.6</v>
      </c>
    </row>
    <row r="9" spans="1:10" ht="15.75">
      <c r="A9" s="914">
        <v>3465</v>
      </c>
      <c r="B9" s="915" t="s">
        <v>320</v>
      </c>
      <c r="C9" s="916">
        <f>'Recurrent 2017-2018'!E642</f>
        <v>87868540.3</v>
      </c>
      <c r="D9" s="916">
        <f>'Development 2017-2018'!G71</f>
        <v>9000000</v>
      </c>
      <c r="E9" s="916">
        <f t="shared" si="0"/>
        <v>96868540.3</v>
      </c>
      <c r="F9" s="916">
        <f t="shared" si="1"/>
        <v>15521766</v>
      </c>
      <c r="G9" s="916">
        <f t="shared" si="2"/>
        <v>-2000000</v>
      </c>
      <c r="H9" s="916">
        <v>72346774.3</v>
      </c>
      <c r="I9" s="916">
        <v>11000000</v>
      </c>
      <c r="J9" s="916">
        <f t="shared" si="3"/>
        <v>83346774.3</v>
      </c>
    </row>
    <row r="10" spans="1:10" ht="15.75">
      <c r="A10" s="914">
        <v>3466</v>
      </c>
      <c r="B10" s="915" t="s">
        <v>2025</v>
      </c>
      <c r="C10" s="916">
        <f>'Recurrent 2017-2018'!E708</f>
        <v>230065709.4304</v>
      </c>
      <c r="D10" s="916">
        <f>'Development 2017-2018'!G145</f>
        <v>261104081</v>
      </c>
      <c r="E10" s="916">
        <f t="shared" si="0"/>
        <v>491169790.4304</v>
      </c>
      <c r="F10" s="916">
        <f t="shared" si="1"/>
        <v>15383724</v>
      </c>
      <c r="G10" s="916">
        <f t="shared" si="2"/>
        <v>32598081</v>
      </c>
      <c r="H10" s="916">
        <v>214681985.4304</v>
      </c>
      <c r="I10" s="916">
        <v>228506000</v>
      </c>
      <c r="J10" s="916">
        <f t="shared" si="3"/>
        <v>443187985.4304</v>
      </c>
    </row>
    <row r="11" spans="1:10" ht="15.75">
      <c r="A11" s="914">
        <v>3467</v>
      </c>
      <c r="B11" s="915" t="s">
        <v>0</v>
      </c>
      <c r="C11" s="916">
        <f>'Recurrent 2017-2018'!E793</f>
        <v>1047929942.9200001</v>
      </c>
      <c r="D11" s="916">
        <f>'Development 2017-2018'!G328</f>
        <v>652253162.1259999</v>
      </c>
      <c r="E11" s="916">
        <f t="shared" si="0"/>
        <v>1700183105.046</v>
      </c>
      <c r="F11" s="916">
        <f t="shared" si="1"/>
        <v>130094976</v>
      </c>
      <c r="G11" s="916">
        <f t="shared" si="2"/>
        <v>284799999.99999994</v>
      </c>
      <c r="H11" s="916">
        <v>917834966.9200001</v>
      </c>
      <c r="I11" s="916">
        <v>367453162.126</v>
      </c>
      <c r="J11" s="916">
        <f t="shared" si="3"/>
        <v>1285288129.046</v>
      </c>
    </row>
    <row r="12" spans="1:10" ht="15.75">
      <c r="A12" s="914">
        <v>3468</v>
      </c>
      <c r="B12" s="915" t="s">
        <v>2026</v>
      </c>
      <c r="C12" s="916">
        <f>'Recurrent 2017-2018'!E902</f>
        <v>360494229.77120006</v>
      </c>
      <c r="D12" s="916">
        <f>'Development 2017-2018'!G350</f>
        <v>10000000</v>
      </c>
      <c r="E12" s="916">
        <f t="shared" si="0"/>
        <v>370494229.77120006</v>
      </c>
      <c r="F12" s="916">
        <f t="shared" si="1"/>
        <v>4560955.829999983</v>
      </c>
      <c r="G12" s="916">
        <f t="shared" si="2"/>
        <v>-831000</v>
      </c>
      <c r="H12" s="916">
        <v>355933273.9412001</v>
      </c>
      <c r="I12" s="916">
        <v>10831000</v>
      </c>
      <c r="J12" s="916">
        <f t="shared" si="3"/>
        <v>366764273.9412001</v>
      </c>
    </row>
    <row r="13" spans="1:10" ht="15.75">
      <c r="A13" s="914">
        <v>3469</v>
      </c>
      <c r="B13" s="915" t="s">
        <v>327</v>
      </c>
      <c r="C13" s="916">
        <f>'Recurrent 2017-2018'!E1041</f>
        <v>133091797.7264</v>
      </c>
      <c r="D13" s="916">
        <f>'Development 2017-2018'!G399</f>
        <v>231450000</v>
      </c>
      <c r="E13" s="916">
        <f t="shared" si="0"/>
        <v>364541797.7264</v>
      </c>
      <c r="F13" s="916">
        <f t="shared" si="1"/>
        <v>9913465</v>
      </c>
      <c r="G13" s="916">
        <f t="shared" si="2"/>
        <v>43100000</v>
      </c>
      <c r="H13" s="916">
        <v>123178332.7264</v>
      </c>
      <c r="I13" s="916">
        <v>188350000</v>
      </c>
      <c r="J13" s="916">
        <f t="shared" si="3"/>
        <v>311528332.7264</v>
      </c>
    </row>
    <row r="14" spans="1:10" ht="15.75">
      <c r="A14" s="914">
        <v>3470</v>
      </c>
      <c r="B14" s="915" t="s">
        <v>2027</v>
      </c>
      <c r="C14" s="916">
        <f>'Recurrent 2017-2018'!E1109</f>
        <v>70566233.0252</v>
      </c>
      <c r="D14" s="916">
        <f>'Development 2017-2018'!G455</f>
        <v>609142008</v>
      </c>
      <c r="E14" s="916">
        <f t="shared" si="0"/>
        <v>679708241.0252</v>
      </c>
      <c r="F14" s="916">
        <f t="shared" si="1"/>
        <v>-181242033</v>
      </c>
      <c r="G14" s="916">
        <f t="shared" si="2"/>
        <v>205107008</v>
      </c>
      <c r="H14" s="916">
        <v>251808266.0252</v>
      </c>
      <c r="I14" s="916">
        <v>404035000</v>
      </c>
      <c r="J14" s="916">
        <f t="shared" si="3"/>
        <v>655843266.0252</v>
      </c>
    </row>
    <row r="15" spans="1:10" ht="15.75">
      <c r="A15" s="914">
        <v>3471</v>
      </c>
      <c r="B15" s="915" t="s">
        <v>2028</v>
      </c>
      <c r="C15" s="916">
        <f>'Recurrent 2017-2018'!E1244</f>
        <v>120513928.1722</v>
      </c>
      <c r="D15" s="916">
        <f>'Development 2017-2018'!G637</f>
        <v>587450000</v>
      </c>
      <c r="E15" s="916">
        <f t="shared" si="0"/>
        <v>707963928.1722</v>
      </c>
      <c r="F15" s="916">
        <f t="shared" si="1"/>
        <v>-27523427</v>
      </c>
      <c r="G15" s="916">
        <f t="shared" si="2"/>
        <v>-21500000</v>
      </c>
      <c r="H15" s="916">
        <v>148037355.1722</v>
      </c>
      <c r="I15" s="916">
        <v>608950000</v>
      </c>
      <c r="J15" s="916">
        <f t="shared" si="3"/>
        <v>756987355.1722</v>
      </c>
    </row>
    <row r="16" spans="1:10" ht="15.75">
      <c r="A16" s="914">
        <v>3472</v>
      </c>
      <c r="B16" s="915" t="s">
        <v>2031</v>
      </c>
      <c r="C16" s="916">
        <f>'Recurrent 2017-2018'!E1381</f>
        <v>78472050.36</v>
      </c>
      <c r="D16" s="916">
        <f>'Development 2017-2018'!G670</f>
        <v>132500000</v>
      </c>
      <c r="E16" s="916">
        <f t="shared" si="0"/>
        <v>210972050.36</v>
      </c>
      <c r="F16" s="916">
        <f t="shared" si="1"/>
        <v>-5680754</v>
      </c>
      <c r="G16" s="916">
        <f t="shared" si="2"/>
        <v>-6000000</v>
      </c>
      <c r="H16" s="916">
        <v>84152804.36</v>
      </c>
      <c r="I16" s="916">
        <v>138500000</v>
      </c>
      <c r="J16" s="916">
        <f t="shared" si="3"/>
        <v>222652804.36</v>
      </c>
    </row>
    <row r="17" spans="1:10" ht="15.75">
      <c r="A17" s="914">
        <v>3473</v>
      </c>
      <c r="B17" s="915" t="s">
        <v>749</v>
      </c>
      <c r="C17" s="916">
        <f>'Recurrent 2017-2018'!E1519</f>
        <v>63659705.400000006</v>
      </c>
      <c r="D17" s="916">
        <f>'Development 2017-2018'!G700</f>
        <v>92500000</v>
      </c>
      <c r="E17" s="916">
        <f t="shared" si="0"/>
        <v>156159705.4</v>
      </c>
      <c r="F17" s="916">
        <f t="shared" si="1"/>
        <v>-1534389</v>
      </c>
      <c r="G17" s="916">
        <f t="shared" si="2"/>
        <v>19500000</v>
      </c>
      <c r="H17" s="916">
        <v>65194094.400000006</v>
      </c>
      <c r="I17" s="913">
        <v>73000000</v>
      </c>
      <c r="J17" s="916">
        <f t="shared" si="3"/>
        <v>138194094.4</v>
      </c>
    </row>
    <row r="18" spans="1:10" ht="15.75">
      <c r="A18" s="1439" t="s">
        <v>1262</v>
      </c>
      <c r="B18" s="1440"/>
      <c r="C18" s="913">
        <f>SUM(C5:C17)</f>
        <v>3927490149.7054005</v>
      </c>
      <c r="D18" s="913">
        <f>SUM(D5:D17)</f>
        <v>3149941592.126</v>
      </c>
      <c r="E18" s="913">
        <f>SUM(E5:E17)</f>
        <v>7077431741.8314</v>
      </c>
      <c r="F18" s="913">
        <f t="shared" si="1"/>
        <v>250505496.82999992</v>
      </c>
      <c r="G18" s="913">
        <f t="shared" si="2"/>
        <v>537516430</v>
      </c>
      <c r="H18" s="913">
        <v>3676984652.8754005</v>
      </c>
      <c r="I18" s="913">
        <v>2612425162.126</v>
      </c>
      <c r="J18" s="913">
        <f>SUM(J5:J17)</f>
        <v>6289409815.0014</v>
      </c>
    </row>
    <row r="19" spans="1:10" ht="15.75">
      <c r="A19" s="1444" t="s">
        <v>1420</v>
      </c>
      <c r="B19" s="1445"/>
      <c r="C19" s="917">
        <f>C18/E18</f>
        <v>0.5549315476250851</v>
      </c>
      <c r="D19" s="917">
        <f>D18/E18</f>
        <v>0.445068452374915</v>
      </c>
      <c r="E19" s="917">
        <f>E18/E18</f>
        <v>1</v>
      </c>
      <c r="F19" s="917"/>
      <c r="G19" s="917"/>
      <c r="H19" s="917">
        <f>H18/J18</f>
        <v>0.5846311118262822</v>
      </c>
      <c r="I19" s="917">
        <f>I18/J18</f>
        <v>0.41536888817371787</v>
      </c>
      <c r="J19" s="917">
        <f>J18/J18</f>
        <v>1</v>
      </c>
    </row>
    <row r="21" spans="5:7" ht="15.75">
      <c r="E21" s="911">
        <f>E18-J18</f>
        <v>788021926.8299999</v>
      </c>
      <c r="G21" s="911">
        <f>G18+F18</f>
        <v>788021926.8299999</v>
      </c>
    </row>
    <row r="22" ht="15.75">
      <c r="G22" s="911">
        <v>607818254</v>
      </c>
    </row>
    <row r="23" spans="3:7" ht="15.75">
      <c r="C23" s="911">
        <f>F18-63064190</f>
        <v>187441306.82999992</v>
      </c>
      <c r="G23" s="993">
        <f>G21-G22</f>
        <v>180203672.82999992</v>
      </c>
    </row>
    <row r="25" spans="3:6" ht="15.75">
      <c r="C25" s="911">
        <f>C18-C5</f>
        <v>3368229934.7054005</v>
      </c>
      <c r="F25" s="911">
        <f>157500000+25000000</f>
        <v>182500000</v>
      </c>
    </row>
    <row r="26" spans="3:6" ht="15.75">
      <c r="C26" s="911">
        <f>C25-1713006975</f>
        <v>1655222959.7054005</v>
      </c>
      <c r="F26" s="911">
        <f>F25+F14</f>
        <v>1257967</v>
      </c>
    </row>
  </sheetData>
  <sheetProtection/>
  <mergeCells count="6">
    <mergeCell ref="A18:B18"/>
    <mergeCell ref="A19:B19"/>
    <mergeCell ref="A1:J1"/>
    <mergeCell ref="A2:J2"/>
    <mergeCell ref="H3:J3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9"/>
  <sheetViews>
    <sheetView zoomScale="90" zoomScaleNormal="90" zoomScalePageLayoutView="0" workbookViewId="0" topLeftCell="A1">
      <selection activeCell="D7" sqref="D7:F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1" customWidth="1"/>
    <col min="8" max="16384" width="9.140625" style="1" customWidth="1"/>
  </cols>
  <sheetData>
    <row r="1" spans="2:7" ht="12.75">
      <c r="B1" s="1144" t="s">
        <v>334</v>
      </c>
      <c r="C1" s="1144"/>
      <c r="D1" s="1144"/>
      <c r="E1" s="1144"/>
      <c r="F1" s="1144"/>
      <c r="G1" s="1144"/>
    </row>
    <row r="2" spans="2:7" ht="9" customHeight="1">
      <c r="B2" s="1143"/>
      <c r="C2" s="1143"/>
      <c r="D2" s="1143"/>
      <c r="E2" s="1143"/>
      <c r="F2" s="1143"/>
      <c r="G2" s="1143"/>
    </row>
    <row r="3" spans="2:7" ht="31.5" customHeight="1">
      <c r="B3" s="1145" t="s">
        <v>418</v>
      </c>
      <c r="C3" s="1145"/>
      <c r="D3" s="1145"/>
      <c r="E3" s="1145"/>
      <c r="F3" s="1145"/>
      <c r="G3" s="1145"/>
    </row>
    <row r="4" ht="6" customHeight="1"/>
    <row r="5" spans="2:7" ht="24.7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3.5" customHeight="1">
      <c r="B6" s="1151">
        <v>1</v>
      </c>
      <c r="C6" s="190"/>
      <c r="D6" s="191"/>
      <c r="E6" s="191"/>
      <c r="F6" s="191"/>
      <c r="G6" s="192"/>
    </row>
    <row r="7" spans="2:7" ht="18" customHeight="1">
      <c r="B7" s="1152"/>
      <c r="C7" s="1148" t="s">
        <v>367</v>
      </c>
      <c r="D7" s="167" t="s">
        <v>369</v>
      </c>
      <c r="E7" s="167" t="s">
        <v>363</v>
      </c>
      <c r="F7" s="167" t="s">
        <v>368</v>
      </c>
      <c r="G7" s="169">
        <v>5000000</v>
      </c>
    </row>
    <row r="8" spans="2:7" ht="13.5" customHeight="1">
      <c r="B8" s="1152"/>
      <c r="C8" s="1150"/>
      <c r="D8" s="170"/>
      <c r="E8" s="170"/>
      <c r="F8" s="170"/>
      <c r="G8" s="171"/>
    </row>
    <row r="9" spans="2:7" ht="13.5" customHeight="1" thickBot="1">
      <c r="B9" s="1153"/>
      <c r="C9" s="168"/>
      <c r="D9" s="170"/>
      <c r="E9" s="170"/>
      <c r="F9" s="170"/>
      <c r="G9" s="171"/>
    </row>
    <row r="10" spans="2:7" ht="13.5" thickBot="1">
      <c r="B10" s="193"/>
      <c r="C10" s="194"/>
      <c r="D10" s="195" t="s">
        <v>9</v>
      </c>
      <c r="E10" s="196"/>
      <c r="F10" s="196"/>
      <c r="G10" s="197">
        <f>SUM(G6:G9)</f>
        <v>5000000</v>
      </c>
    </row>
    <row r="11" spans="2:7" ht="15" customHeight="1">
      <c r="B11" s="1161">
        <v>2</v>
      </c>
      <c r="C11" s="175"/>
      <c r="D11" s="182"/>
      <c r="E11" s="176"/>
      <c r="F11" s="176"/>
      <c r="G11" s="177"/>
    </row>
    <row r="12" spans="2:7" ht="18" customHeight="1">
      <c r="B12" s="1162"/>
      <c r="C12" s="1146" t="s">
        <v>370</v>
      </c>
      <c r="D12" s="173" t="s">
        <v>371</v>
      </c>
      <c r="E12" s="173" t="s">
        <v>363</v>
      </c>
      <c r="F12" s="173" t="s">
        <v>366</v>
      </c>
      <c r="G12" s="174">
        <v>2000000</v>
      </c>
    </row>
    <row r="13" spans="2:7" ht="18" customHeight="1">
      <c r="B13" s="1162"/>
      <c r="C13" s="1147"/>
      <c r="D13" s="173" t="s">
        <v>372</v>
      </c>
      <c r="E13" s="173" t="s">
        <v>363</v>
      </c>
      <c r="F13" s="173" t="s">
        <v>373</v>
      </c>
      <c r="G13" s="174">
        <v>2000000</v>
      </c>
    </row>
    <row r="14" spans="2:7" ht="18" customHeight="1">
      <c r="B14" s="1162"/>
      <c r="C14" s="1147"/>
      <c r="D14" s="173" t="s">
        <v>384</v>
      </c>
      <c r="E14" s="173" t="s">
        <v>363</v>
      </c>
      <c r="F14" s="173" t="s">
        <v>385</v>
      </c>
      <c r="G14" s="174">
        <v>2000000</v>
      </c>
    </row>
    <row r="15" spans="2:3" ht="12.75">
      <c r="B15" s="1162"/>
      <c r="C15" s="1168"/>
    </row>
    <row r="16" spans="2:7" ht="13.5" thickBot="1">
      <c r="B16" s="1163"/>
      <c r="C16" s="173"/>
      <c r="D16" s="187"/>
      <c r="E16" s="187"/>
      <c r="F16" s="187"/>
      <c r="G16" s="188"/>
    </row>
    <row r="17" spans="2:7" ht="18.75" customHeight="1" thickBot="1">
      <c r="B17" s="185"/>
      <c r="C17" s="180"/>
      <c r="D17" s="179" t="s">
        <v>9</v>
      </c>
      <c r="E17" s="180"/>
      <c r="F17" s="180"/>
      <c r="G17" s="184">
        <f>SUM(G11:G16)</f>
        <v>6000000</v>
      </c>
    </row>
    <row r="18" spans="2:7" ht="18" customHeight="1">
      <c r="B18" s="1154">
        <v>3</v>
      </c>
      <c r="C18" s="1148" t="s">
        <v>339</v>
      </c>
      <c r="D18" s="173" t="s">
        <v>374</v>
      </c>
      <c r="E18" s="173" t="s">
        <v>363</v>
      </c>
      <c r="F18" s="173" t="s">
        <v>375</v>
      </c>
      <c r="G18" s="174">
        <v>7000000</v>
      </c>
    </row>
    <row r="19" spans="2:7" ht="18" customHeight="1">
      <c r="B19" s="1152"/>
      <c r="C19" s="1150"/>
      <c r="D19" s="173" t="s">
        <v>386</v>
      </c>
      <c r="E19" s="173" t="s">
        <v>363</v>
      </c>
      <c r="F19" s="173" t="s">
        <v>385</v>
      </c>
      <c r="G19" s="174">
        <v>4000000</v>
      </c>
    </row>
    <row r="20" spans="2:7" ht="26.25" customHeight="1" thickBot="1">
      <c r="B20" s="1153"/>
      <c r="C20" s="172"/>
      <c r="D20" s="173"/>
      <c r="E20" s="173"/>
      <c r="F20" s="173"/>
      <c r="G20" s="174"/>
    </row>
    <row r="21" spans="2:7" ht="13.5" thickBot="1">
      <c r="B21" s="183"/>
      <c r="C21" s="178"/>
      <c r="D21" s="179" t="s">
        <v>9</v>
      </c>
      <c r="E21" s="180"/>
      <c r="F21" s="180"/>
      <c r="G21" s="184">
        <f>SUM(G18:G20)</f>
        <v>11000000</v>
      </c>
    </row>
    <row r="22" spans="2:7" ht="18" customHeight="1">
      <c r="B22" s="1164">
        <v>4</v>
      </c>
      <c r="C22" s="1156" t="s">
        <v>342</v>
      </c>
      <c r="D22" s="173" t="s">
        <v>387</v>
      </c>
      <c r="E22" s="173" t="s">
        <v>363</v>
      </c>
      <c r="F22" s="173" t="s">
        <v>364</v>
      </c>
      <c r="G22" s="174">
        <v>1700000</v>
      </c>
    </row>
    <row r="23" spans="2:7" ht="13.5" customHeight="1" thickBot="1">
      <c r="B23" s="1165"/>
      <c r="C23" s="1167"/>
      <c r="D23" s="170"/>
      <c r="E23" s="170"/>
      <c r="F23" s="170"/>
      <c r="G23" s="171"/>
    </row>
    <row r="24" spans="2:7" ht="13.5" thickBot="1">
      <c r="B24" s="193"/>
      <c r="C24" s="194"/>
      <c r="D24" s="195" t="s">
        <v>9</v>
      </c>
      <c r="E24" s="196"/>
      <c r="F24" s="196"/>
      <c r="G24" s="197">
        <f>SUM(G22:G23)</f>
        <v>1700000</v>
      </c>
    </row>
    <row r="25" spans="2:7" ht="12.75">
      <c r="B25" s="162"/>
      <c r="C25" s="234"/>
      <c r="D25" s="164"/>
      <c r="E25" s="164"/>
      <c r="F25" s="163"/>
      <c r="G25" s="165"/>
    </row>
    <row r="26" spans="2:7" ht="23.25" customHeight="1">
      <c r="B26" s="1166">
        <v>5</v>
      </c>
      <c r="C26" s="1148" t="s">
        <v>346</v>
      </c>
      <c r="D26" s="202" t="s">
        <v>849</v>
      </c>
      <c r="E26" s="167" t="s">
        <v>363</v>
      </c>
      <c r="F26" s="167" t="s">
        <v>364</v>
      </c>
      <c r="G26" s="169">
        <v>8000000</v>
      </c>
    </row>
    <row r="27" spans="2:7" ht="23.25" customHeight="1">
      <c r="B27" s="1159"/>
      <c r="C27" s="1149"/>
      <c r="D27" s="167" t="s">
        <v>365</v>
      </c>
      <c r="E27" s="167" t="s">
        <v>363</v>
      </c>
      <c r="F27" s="167" t="s">
        <v>366</v>
      </c>
      <c r="G27" s="169">
        <v>5000000</v>
      </c>
    </row>
    <row r="28" spans="2:7" ht="18" customHeight="1">
      <c r="B28" s="1159"/>
      <c r="C28" s="1149"/>
      <c r="D28" s="173" t="s">
        <v>376</v>
      </c>
      <c r="E28" s="173" t="s">
        <v>363</v>
      </c>
      <c r="F28" s="173" t="s">
        <v>377</v>
      </c>
      <c r="G28" s="174">
        <v>5000000</v>
      </c>
    </row>
    <row r="29" spans="2:7" ht="18" customHeight="1">
      <c r="B29" s="1159"/>
      <c r="C29" s="1149"/>
      <c r="D29" s="173" t="s">
        <v>378</v>
      </c>
      <c r="E29" s="173" t="s">
        <v>363</v>
      </c>
      <c r="F29" s="173" t="s">
        <v>379</v>
      </c>
      <c r="G29" s="174">
        <v>2000000</v>
      </c>
    </row>
    <row r="30" spans="2:7" ht="18" customHeight="1">
      <c r="B30" s="1159"/>
      <c r="C30" s="1149"/>
      <c r="D30" s="173" t="s">
        <v>380</v>
      </c>
      <c r="E30" s="173" t="s">
        <v>363</v>
      </c>
      <c r="F30" s="173" t="s">
        <v>381</v>
      </c>
      <c r="G30" s="174">
        <v>5000000</v>
      </c>
    </row>
    <row r="31" spans="2:7" ht="18" customHeight="1" thickBot="1">
      <c r="B31" s="1160"/>
      <c r="C31" s="1150"/>
      <c r="D31" s="173" t="s">
        <v>382</v>
      </c>
      <c r="E31" s="173" t="s">
        <v>363</v>
      </c>
      <c r="F31" s="173" t="s">
        <v>383</v>
      </c>
      <c r="G31" s="174">
        <v>3000000</v>
      </c>
    </row>
    <row r="32" spans="2:7" ht="13.5" thickBot="1">
      <c r="B32" s="185"/>
      <c r="C32" s="178"/>
      <c r="D32" s="179" t="s">
        <v>9</v>
      </c>
      <c r="E32" s="180"/>
      <c r="F32" s="180"/>
      <c r="G32" s="186">
        <f>SUM(G26:G31)</f>
        <v>28000000</v>
      </c>
    </row>
    <row r="33" spans="2:7" ht="15" customHeight="1">
      <c r="B33" s="1158">
        <v>6</v>
      </c>
      <c r="C33" s="175"/>
      <c r="D33" s="176"/>
      <c r="E33" s="176"/>
      <c r="F33" s="176"/>
      <c r="G33" s="189"/>
    </row>
    <row r="34" spans="2:7" ht="12.75">
      <c r="B34" s="1159"/>
      <c r="C34" s="1148" t="s">
        <v>362</v>
      </c>
      <c r="D34" s="202" t="s">
        <v>850</v>
      </c>
      <c r="E34" s="167" t="s">
        <v>363</v>
      </c>
      <c r="F34" s="167" t="s">
        <v>364</v>
      </c>
      <c r="G34" s="169">
        <v>6000000</v>
      </c>
    </row>
    <row r="35" spans="2:7" ht="12.75">
      <c r="B35" s="1159"/>
      <c r="C35" s="1149"/>
      <c r="D35" s="170"/>
      <c r="E35" s="170"/>
      <c r="F35" s="170"/>
      <c r="G35" s="171"/>
    </row>
    <row r="36" spans="2:7" ht="13.5" thickBot="1">
      <c r="B36" s="1160"/>
      <c r="C36" s="172"/>
      <c r="D36" s="187"/>
      <c r="E36" s="187"/>
      <c r="F36" s="187"/>
      <c r="G36" s="188"/>
    </row>
    <row r="37" spans="2:7" ht="13.5" thickBot="1">
      <c r="B37" s="193"/>
      <c r="C37" s="194"/>
      <c r="D37" s="195" t="s">
        <v>9</v>
      </c>
      <c r="E37" s="196"/>
      <c r="F37" s="196"/>
      <c r="G37" s="197">
        <f>SUM(G33:G36)</f>
        <v>6000000</v>
      </c>
    </row>
    <row r="38" spans="2:7" ht="13.5" customHeight="1" thickBot="1">
      <c r="B38" s="166"/>
      <c r="C38" s="168"/>
      <c r="D38" s="170"/>
      <c r="E38" s="170"/>
      <c r="F38" s="170"/>
      <c r="G38" s="171"/>
    </row>
    <row r="39" spans="2:7" ht="13.5" thickBot="1">
      <c r="B39" s="204"/>
      <c r="C39" s="205"/>
      <c r="D39" s="206" t="s">
        <v>419</v>
      </c>
      <c r="E39" s="207"/>
      <c r="F39" s="207"/>
      <c r="G39" s="208">
        <f>SUM(G10,G17,G21,G24,G32,G37)</f>
        <v>57700000</v>
      </c>
    </row>
  </sheetData>
  <sheetProtection/>
  <mergeCells count="15">
    <mergeCell ref="B1:G1"/>
    <mergeCell ref="B2:G2"/>
    <mergeCell ref="C26:C31"/>
    <mergeCell ref="B3:G3"/>
    <mergeCell ref="C12:C15"/>
    <mergeCell ref="B33:B36"/>
    <mergeCell ref="C18:C19"/>
    <mergeCell ref="B6:B9"/>
    <mergeCell ref="B11:B16"/>
    <mergeCell ref="B18:B20"/>
    <mergeCell ref="B22:B23"/>
    <mergeCell ref="B26:B31"/>
    <mergeCell ref="C7:C8"/>
    <mergeCell ref="C22:C23"/>
    <mergeCell ref="C34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3">
      <selection activeCell="G10" sqref="G10"/>
    </sheetView>
  </sheetViews>
  <sheetFormatPr defaultColWidth="9.140625" defaultRowHeight="15"/>
  <cols>
    <col min="1" max="1" width="49.57421875" style="0" bestFit="1" customWidth="1"/>
    <col min="2" max="2" width="24.00390625" style="987" bestFit="1" customWidth="1"/>
    <col min="3" max="3" width="19.7109375" style="987" bestFit="1" customWidth="1"/>
    <col min="4" max="4" width="17.8515625" style="0" bestFit="1" customWidth="1"/>
    <col min="6" max="7" width="12.57421875" style="0" bestFit="1" customWidth="1"/>
  </cols>
  <sheetData>
    <row r="1" spans="1:2" ht="15.75">
      <c r="A1" s="1455" t="s">
        <v>1896</v>
      </c>
      <c r="B1" s="1455"/>
    </row>
    <row r="2" spans="1:2" ht="15.75">
      <c r="A2" s="1455"/>
      <c r="B2" s="1455"/>
    </row>
    <row r="3" spans="1:2" ht="15.75">
      <c r="A3" s="882" t="s">
        <v>1891</v>
      </c>
      <c r="B3" s="988" t="s">
        <v>1892</v>
      </c>
    </row>
    <row r="4" spans="1:4" ht="15.75">
      <c r="A4" s="879"/>
      <c r="B4" s="992" t="s">
        <v>2193</v>
      </c>
      <c r="C4" s="992" t="s">
        <v>2194</v>
      </c>
      <c r="D4" s="992" t="s">
        <v>2196</v>
      </c>
    </row>
    <row r="5" spans="1:4" ht="15.75">
      <c r="A5" s="879" t="s">
        <v>1893</v>
      </c>
      <c r="B5" s="989">
        <v>130000000</v>
      </c>
      <c r="C5" s="989">
        <v>130000000</v>
      </c>
      <c r="D5" s="989">
        <f>B5-C5</f>
        <v>0</v>
      </c>
    </row>
    <row r="6" spans="1:4" ht="15.75">
      <c r="A6" s="879" t="s">
        <v>1396</v>
      </c>
      <c r="B6" s="989">
        <v>6583600000</v>
      </c>
      <c r="C6" s="989">
        <v>5975781746</v>
      </c>
      <c r="D6" s="989">
        <f>B6-C6</f>
        <v>607818254</v>
      </c>
    </row>
    <row r="7" spans="1:4" ht="15.75">
      <c r="A7" s="896" t="s">
        <v>9</v>
      </c>
      <c r="B7" s="990">
        <f>SUM(B5:B6)</f>
        <v>6713600000</v>
      </c>
      <c r="C7" s="896">
        <f>SUM(C5:C6)</f>
        <v>6105781746</v>
      </c>
      <c r="D7" s="896">
        <f>SUM(D5:D6)</f>
        <v>607818254</v>
      </c>
    </row>
    <row r="8" spans="1:4" ht="15.75">
      <c r="A8" s="1455" t="s">
        <v>1894</v>
      </c>
      <c r="B8" s="1455"/>
      <c r="C8" s="989"/>
      <c r="D8" s="989"/>
    </row>
    <row r="9" spans="1:7" ht="15.75">
      <c r="A9" s="879" t="s">
        <v>1895</v>
      </c>
      <c r="B9" s="989">
        <v>6643714</v>
      </c>
      <c r="C9" s="989">
        <v>6787069</v>
      </c>
      <c r="D9" s="989">
        <f aca="true" t="shared" si="0" ref="D9:D14">B9-C9</f>
        <v>-143355</v>
      </c>
      <c r="G9" s="931">
        <f>D13+D11+D9+D10</f>
        <v>63064190</v>
      </c>
    </row>
    <row r="10" spans="1:4" ht="15.75">
      <c r="A10" s="879" t="s">
        <v>2195</v>
      </c>
      <c r="B10" s="989">
        <v>0</v>
      </c>
      <c r="C10" s="989">
        <v>19341000</v>
      </c>
      <c r="D10" s="989">
        <f t="shared" si="0"/>
        <v>-19341000</v>
      </c>
    </row>
    <row r="11" spans="1:4" ht="15.75">
      <c r="A11" s="879" t="s">
        <v>2036</v>
      </c>
      <c r="B11" s="989">
        <v>36800000</v>
      </c>
      <c r="C11" s="989">
        <v>0</v>
      </c>
      <c r="D11" s="989">
        <f t="shared" si="0"/>
        <v>36800000</v>
      </c>
    </row>
    <row r="12" spans="1:4" ht="15.75">
      <c r="A12" s="879" t="s">
        <v>2042</v>
      </c>
      <c r="B12" s="989">
        <v>29598081</v>
      </c>
      <c r="C12" s="989">
        <v>0</v>
      </c>
      <c r="D12" s="989">
        <f t="shared" si="0"/>
        <v>29598081</v>
      </c>
    </row>
    <row r="13" spans="1:4" ht="15.75">
      <c r="A13" s="879" t="s">
        <v>2048</v>
      </c>
      <c r="B13" s="989">
        <v>45748545</v>
      </c>
      <c r="C13" s="989">
        <v>0</v>
      </c>
      <c r="D13" s="989">
        <f t="shared" si="0"/>
        <v>45748545</v>
      </c>
    </row>
    <row r="14" spans="1:4" ht="15.75">
      <c r="A14" s="879" t="s">
        <v>1931</v>
      </c>
      <c r="B14" s="989">
        <v>221107010</v>
      </c>
      <c r="C14" s="989">
        <v>157500000</v>
      </c>
      <c r="D14" s="989">
        <f t="shared" si="0"/>
        <v>63607010</v>
      </c>
    </row>
    <row r="15" spans="1:7" ht="15.75">
      <c r="A15" s="896" t="s">
        <v>9</v>
      </c>
      <c r="B15" s="990">
        <f>SUM(B9:B14)</f>
        <v>339897350</v>
      </c>
      <c r="C15" s="990">
        <f>SUM(C9:C14)</f>
        <v>183628069</v>
      </c>
      <c r="D15" s="990">
        <f>SUM(D9:D14)</f>
        <v>156269281</v>
      </c>
      <c r="F15" s="931">
        <f>D16-D15</f>
        <v>607818254</v>
      </c>
      <c r="G15" s="931"/>
    </row>
    <row r="16" spans="1:4" ht="15.75">
      <c r="A16" s="881" t="s">
        <v>295</v>
      </c>
      <c r="B16" s="988">
        <f>SUM(B15,B7)</f>
        <v>7053497350</v>
      </c>
      <c r="C16" s="988">
        <f>SUM(C15,C7)</f>
        <v>6289409815</v>
      </c>
      <c r="D16" s="988">
        <f>SUM(D15,D7)</f>
        <v>764087535</v>
      </c>
    </row>
    <row r="17" spans="1:4" ht="15.75">
      <c r="A17" s="1456"/>
      <c r="B17" s="1457"/>
      <c r="C17" s="989"/>
      <c r="D17" s="989"/>
    </row>
    <row r="18" spans="1:4" ht="15.75">
      <c r="A18" s="1458" t="s">
        <v>1932</v>
      </c>
      <c r="B18" s="1459"/>
      <c r="C18" s="989"/>
      <c r="D18" s="989"/>
    </row>
    <row r="19" spans="1:4" ht="15.75">
      <c r="A19" s="895" t="s">
        <v>1930</v>
      </c>
      <c r="B19" s="897">
        <f>'Recurrent 2017-2018'!E1521</f>
        <v>3927490149.7053995</v>
      </c>
      <c r="C19" s="989">
        <v>3676984653</v>
      </c>
      <c r="D19" s="989">
        <f>B19-C19</f>
        <v>250505496.7053995</v>
      </c>
    </row>
    <row r="20" spans="1:4" ht="15.75">
      <c r="A20" s="895" t="s">
        <v>1929</v>
      </c>
      <c r="B20" s="897">
        <f>'Development 2017-2018'!G702</f>
        <v>3149941592.126</v>
      </c>
      <c r="C20" s="989">
        <v>2612425162</v>
      </c>
      <c r="D20" s="989">
        <f>B20-C20</f>
        <v>537516430.1259999</v>
      </c>
    </row>
    <row r="21" spans="1:4" ht="15">
      <c r="A21" s="895"/>
      <c r="B21" s="991">
        <f>SUM(B19:B20)</f>
        <v>7077431741.8314</v>
      </c>
      <c r="C21" s="991">
        <f>SUM(C19:C20)</f>
        <v>6289409815</v>
      </c>
      <c r="D21" s="991">
        <f>SUM(D19:D20)</f>
        <v>788021926.8313994</v>
      </c>
    </row>
  </sheetData>
  <sheetProtection/>
  <mergeCells count="5">
    <mergeCell ref="A1:B1"/>
    <mergeCell ref="A2:B2"/>
    <mergeCell ref="A8:B8"/>
    <mergeCell ref="A17:B17"/>
    <mergeCell ref="A18:B1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5.00390625" style="0" bestFit="1" customWidth="1"/>
    <col min="2" max="2" width="19.7109375" style="926" bestFit="1" customWidth="1"/>
    <col min="3" max="3" width="16.8515625" style="926" hidden="1" customWidth="1"/>
    <col min="4" max="4" width="0" style="0" hidden="1" customWidth="1"/>
    <col min="5" max="5" width="15.28125" style="926" hidden="1" customWidth="1"/>
    <col min="6" max="7" width="14.28125" style="0" bestFit="1" customWidth="1"/>
    <col min="8" max="8" width="17.57421875" style="883" bestFit="1" customWidth="1"/>
    <col min="10" max="10" width="12.57421875" style="0" bestFit="1" customWidth="1"/>
  </cols>
  <sheetData>
    <row r="1" spans="1:2" ht="15.75">
      <c r="A1" s="930" t="s">
        <v>2040</v>
      </c>
      <c r="B1" s="930"/>
    </row>
    <row r="2" spans="1:2" ht="15">
      <c r="A2" s="927"/>
      <c r="B2" s="928"/>
    </row>
    <row r="3" spans="1:2" ht="15.75">
      <c r="A3" s="924" t="s">
        <v>8</v>
      </c>
      <c r="B3" s="925" t="s">
        <v>2041</v>
      </c>
    </row>
    <row r="4" spans="1:10" ht="15.75">
      <c r="A4" s="921" t="s">
        <v>2022</v>
      </c>
      <c r="B4" s="923">
        <f>'Recurrent 2017-2018'!E142+'Recurrent 2017-2018'!E255</f>
        <v>129975406.76</v>
      </c>
      <c r="C4" s="926">
        <v>1494087078</v>
      </c>
      <c r="D4" s="934">
        <f>B4/C4</f>
        <v>0.08699319381972462</v>
      </c>
      <c r="E4" s="926">
        <v>200000000</v>
      </c>
      <c r="F4" s="936">
        <f>D4*E4</f>
        <v>17398638.763944924</v>
      </c>
      <c r="G4" s="931">
        <f>B4+F4</f>
        <v>147374045.5239449</v>
      </c>
      <c r="H4" s="883">
        <v>14341105</v>
      </c>
      <c r="J4" s="931">
        <f>B4+H4</f>
        <v>144316511.76</v>
      </c>
    </row>
    <row r="5" spans="1:8" s="933" customFormat="1" ht="15.75">
      <c r="A5" s="929" t="s">
        <v>2023</v>
      </c>
      <c r="B5" s="932">
        <f>'Recurrent 2017-2018'!E281+'Recurrent 2017-2018'!E283+'Recurrent 2017-2018'!E285+'Recurrent 2017-2018'!E295+'Recurrent 2017-2018'!E395</f>
        <v>99290363.24</v>
      </c>
      <c r="C5" s="926">
        <v>1494087078</v>
      </c>
      <c r="D5" s="934">
        <f aca="true" t="shared" si="0" ref="D5:D15">B5/C5</f>
        <v>0.06645553977544004</v>
      </c>
      <c r="E5" s="926">
        <v>200000000</v>
      </c>
      <c r="F5" s="936">
        <f aca="true" t="shared" si="1" ref="F5:F15">D5*E5</f>
        <v>13291107.955088008</v>
      </c>
      <c r="G5" s="931">
        <f aca="true" t="shared" si="2" ref="G5:G15">B5+F5</f>
        <v>112581471.195088</v>
      </c>
      <c r="H5" s="994">
        <v>11529413</v>
      </c>
    </row>
    <row r="6" spans="1:8" s="933" customFormat="1" ht="15.75">
      <c r="A6" s="929" t="s">
        <v>2024</v>
      </c>
      <c r="B6" s="932">
        <f>'Recurrent 2017-2018'!E420+'Recurrent 2017-2018'!E422+'Recurrent 2017-2018'!E429+'Recurrent 2017-2018'!E433</f>
        <v>127194063.6</v>
      </c>
      <c r="C6" s="926">
        <v>1494087078</v>
      </c>
      <c r="D6" s="934">
        <f t="shared" si="0"/>
        <v>0.08513162684618306</v>
      </c>
      <c r="E6" s="926">
        <v>200000000</v>
      </c>
      <c r="F6" s="936">
        <f t="shared" si="1"/>
        <v>17026325.36923661</v>
      </c>
      <c r="G6" s="931">
        <f t="shared" si="2"/>
        <v>144220388.9692366</v>
      </c>
      <c r="H6" s="994">
        <v>15016237</v>
      </c>
    </row>
    <row r="7" spans="1:8" s="933" customFormat="1" ht="15.75">
      <c r="A7" s="929" t="s">
        <v>320</v>
      </c>
      <c r="B7" s="932">
        <f>'Recurrent 2017-2018'!E514+'Recurrent 2017-2018'!E516+'Recurrent 2017-2018'!E628</f>
        <v>43368540.3</v>
      </c>
      <c r="C7" s="926">
        <v>1494087078</v>
      </c>
      <c r="D7" s="934">
        <f t="shared" si="0"/>
        <v>0.02902678226630108</v>
      </c>
      <c r="E7" s="926">
        <v>200000000</v>
      </c>
      <c r="F7" s="936">
        <f t="shared" si="1"/>
        <v>5805356.453260216</v>
      </c>
      <c r="G7" s="931">
        <f t="shared" si="2"/>
        <v>49173896.75326021</v>
      </c>
      <c r="H7" s="994">
        <v>4521766</v>
      </c>
    </row>
    <row r="8" spans="1:8" s="933" customFormat="1" ht="15.75">
      <c r="A8" s="929" t="s">
        <v>2025</v>
      </c>
      <c r="B8" s="932">
        <f>'Recurrent 2017-2018'!E649</f>
        <v>127765709.43040001</v>
      </c>
      <c r="C8" s="926">
        <v>1494087078</v>
      </c>
      <c r="D8" s="934">
        <f t="shared" si="0"/>
        <v>0.08551423227716318</v>
      </c>
      <c r="E8" s="926">
        <v>200000000</v>
      </c>
      <c r="F8" s="936">
        <f t="shared" si="1"/>
        <v>17102846.455432635</v>
      </c>
      <c r="G8" s="931">
        <f t="shared" si="2"/>
        <v>144868555.88583264</v>
      </c>
      <c r="H8" s="994">
        <v>15083724</v>
      </c>
    </row>
    <row r="9" spans="1:8" s="933" customFormat="1" ht="15.75">
      <c r="A9" s="929" t="s">
        <v>0</v>
      </c>
      <c r="B9" s="932">
        <f>'Recurrent 2017-2018'!E716+'Recurrent 2017-2018'!E717</f>
        <v>782201836.9200001</v>
      </c>
      <c r="C9" s="926">
        <v>1494087078</v>
      </c>
      <c r="D9" s="934">
        <f t="shared" si="0"/>
        <v>0.5235316257249634</v>
      </c>
      <c r="E9" s="926">
        <v>200000000</v>
      </c>
      <c r="F9" s="936">
        <f t="shared" si="1"/>
        <v>104706325.14499268</v>
      </c>
      <c r="G9" s="931">
        <f t="shared" si="2"/>
        <v>886908162.0649928</v>
      </c>
      <c r="H9" s="994">
        <v>92344939</v>
      </c>
    </row>
    <row r="10" spans="1:8" s="933" customFormat="1" ht="15.75">
      <c r="A10" s="929" t="s">
        <v>2026</v>
      </c>
      <c r="B10" s="932">
        <f>'Recurrent 2017-2018'!E801</f>
        <v>126463229.77120006</v>
      </c>
      <c r="C10" s="926">
        <v>1494087078</v>
      </c>
      <c r="D10" s="934">
        <f t="shared" si="0"/>
        <v>0.08464247608679208</v>
      </c>
      <c r="E10" s="926">
        <v>200000000</v>
      </c>
      <c r="F10" s="936">
        <f t="shared" si="1"/>
        <v>16928495.217358418</v>
      </c>
      <c r="G10" s="931">
        <f t="shared" si="2"/>
        <v>143391724.98855847</v>
      </c>
      <c r="H10" s="994">
        <v>14929956</v>
      </c>
    </row>
    <row r="11" spans="1:8" s="933" customFormat="1" ht="15.75">
      <c r="A11" s="929" t="s">
        <v>327</v>
      </c>
      <c r="B11" s="932">
        <f>'Recurrent 2017-2018'!E911</f>
        <v>92441797.7264</v>
      </c>
      <c r="C11" s="926">
        <v>1494087078</v>
      </c>
      <c r="D11" s="934">
        <f t="shared" si="0"/>
        <v>0.061871760413150435</v>
      </c>
      <c r="E11" s="926">
        <v>200000000</v>
      </c>
      <c r="F11" s="936">
        <f t="shared" si="1"/>
        <v>12374352.082630087</v>
      </c>
      <c r="G11" s="931">
        <f t="shared" si="2"/>
        <v>104816149.80903009</v>
      </c>
      <c r="H11" s="994">
        <v>10913465</v>
      </c>
    </row>
    <row r="12" spans="1:8" s="933" customFormat="1" ht="15.75">
      <c r="A12" s="929" t="s">
        <v>2027</v>
      </c>
      <c r="B12" s="932">
        <f>'Recurrent 2017-2018'!E1048+'Recurrent 2017-2018'!E1050</f>
        <v>37366233.0252</v>
      </c>
      <c r="C12" s="926">
        <v>1494087078</v>
      </c>
      <c r="D12" s="934">
        <f t="shared" si="0"/>
        <v>0.025009407801865752</v>
      </c>
      <c r="E12" s="926">
        <v>200000000</v>
      </c>
      <c r="F12" s="936">
        <f t="shared" si="1"/>
        <v>5001881.560373151</v>
      </c>
      <c r="G12" s="931">
        <f t="shared" si="2"/>
        <v>42368114.58557315</v>
      </c>
      <c r="H12" s="994">
        <v>4364975</v>
      </c>
    </row>
    <row r="13" spans="1:8" s="933" customFormat="1" ht="15.75">
      <c r="A13" s="929" t="s">
        <v>2028</v>
      </c>
      <c r="B13" s="932">
        <f>'Recurrent 2017-2018'!E1116</f>
        <v>67565048.1722</v>
      </c>
      <c r="C13" s="926">
        <v>1494087078</v>
      </c>
      <c r="D13" s="934">
        <f t="shared" si="0"/>
        <v>0.0452216267492543</v>
      </c>
      <c r="E13" s="926">
        <v>200000000</v>
      </c>
      <c r="F13" s="936">
        <f t="shared" si="1"/>
        <v>9044325.34985086</v>
      </c>
      <c r="G13" s="931">
        <f t="shared" si="2"/>
        <v>76609373.52205086</v>
      </c>
      <c r="H13" s="994">
        <v>7976573</v>
      </c>
    </row>
    <row r="14" spans="1:8" s="933" customFormat="1" ht="15.75">
      <c r="A14" s="929" t="s">
        <v>2031</v>
      </c>
      <c r="B14" s="932">
        <f>'Recurrent 2017-2018'!E1253+'Recurrent 2017-2018'!E1366</f>
        <v>48365040.36</v>
      </c>
      <c r="C14" s="926">
        <v>1494087078</v>
      </c>
      <c r="D14" s="934">
        <f t="shared" si="0"/>
        <v>0.032370964900346993</v>
      </c>
      <c r="E14" s="926">
        <v>200000000</v>
      </c>
      <c r="F14" s="936">
        <f t="shared" si="1"/>
        <v>6474192.980069399</v>
      </c>
      <c r="G14" s="931">
        <f t="shared" si="2"/>
        <v>54839233.3400694</v>
      </c>
      <c r="H14" s="994">
        <v>5512236</v>
      </c>
    </row>
    <row r="15" spans="1:8" s="933" customFormat="1" ht="15.75">
      <c r="A15" s="929" t="s">
        <v>749</v>
      </c>
      <c r="B15" s="932">
        <f>'Recurrent 2017-2018'!E1390+'Recurrent 2017-2018'!E1394+'Recurrent 2017-2018'!E1403+'Recurrent 2017-2018'!E1504</f>
        <v>31009705.400000002</v>
      </c>
      <c r="C15" s="926">
        <v>1494087078</v>
      </c>
      <c r="D15" s="934">
        <f t="shared" si="0"/>
        <v>0.02075495187436458</v>
      </c>
      <c r="E15" s="926">
        <v>200000000</v>
      </c>
      <c r="F15" s="936">
        <f t="shared" si="1"/>
        <v>4150990.3748729164</v>
      </c>
      <c r="G15" s="931">
        <f t="shared" si="2"/>
        <v>35160695.77487292</v>
      </c>
      <c r="H15" s="994">
        <v>3465611</v>
      </c>
    </row>
    <row r="16" spans="1:8" ht="15.75">
      <c r="A16" s="929" t="s">
        <v>1262</v>
      </c>
      <c r="B16" s="925">
        <f>SUM(B4:B15)</f>
        <v>1713006974.7054</v>
      </c>
      <c r="F16" s="931">
        <f>SUM(F4:F15)</f>
        <v>229304837.70710993</v>
      </c>
      <c r="G16" s="935">
        <f>SUM(G4:G15)</f>
        <v>1942311812.41251</v>
      </c>
      <c r="H16" s="884">
        <f>SUM(H4:H15)</f>
        <v>200000000</v>
      </c>
    </row>
    <row r="18" ht="15">
      <c r="B18" s="926">
        <f>B16/12</f>
        <v>142750581.22545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2:J18"/>
  <sheetViews>
    <sheetView zoomScalePageLayoutView="0" workbookViewId="0" topLeftCell="C1">
      <selection activeCell="F20" sqref="F20"/>
    </sheetView>
  </sheetViews>
  <sheetFormatPr defaultColWidth="9.140625" defaultRowHeight="15"/>
  <cols>
    <col min="4" max="4" width="55.00390625" style="0" bestFit="1" customWidth="1"/>
    <col min="5" max="5" width="18.00390625" style="0" bestFit="1" customWidth="1"/>
    <col min="6" max="6" width="18.57421875" style="0" bestFit="1" customWidth="1"/>
    <col min="7" max="7" width="18.00390625" style="0" bestFit="1" customWidth="1"/>
    <col min="8" max="8" width="23.421875" style="1131" bestFit="1" customWidth="1"/>
    <col min="9" max="10" width="18.7109375" style="1131" bestFit="1" customWidth="1"/>
  </cols>
  <sheetData>
    <row r="1" ht="15.75" thickBot="1"/>
    <row r="2" spans="3:10" ht="16.5" thickBot="1">
      <c r="C2" s="1460" t="s">
        <v>2346</v>
      </c>
      <c r="D2" s="1461"/>
      <c r="E2" s="1461"/>
      <c r="F2" s="1461"/>
      <c r="G2" s="1461"/>
      <c r="H2" s="1136" t="s">
        <v>2347</v>
      </c>
      <c r="I2" s="1136"/>
      <c r="J2" s="1136"/>
    </row>
    <row r="3" spans="3:10" ht="16.5" thickBot="1">
      <c r="C3" s="1124" t="s">
        <v>2030</v>
      </c>
      <c r="D3" s="1125" t="s">
        <v>2029</v>
      </c>
      <c r="E3" s="1125" t="s">
        <v>2343</v>
      </c>
      <c r="F3" s="1125" t="s">
        <v>2344</v>
      </c>
      <c r="G3" s="1132" t="s">
        <v>2345</v>
      </c>
      <c r="H3" s="1137" t="s">
        <v>2343</v>
      </c>
      <c r="I3" s="1137" t="s">
        <v>2344</v>
      </c>
      <c r="J3" s="1137" t="s">
        <v>2345</v>
      </c>
    </row>
    <row r="4" spans="3:10" ht="16.5" thickBot="1">
      <c r="C4" s="1126">
        <v>3461</v>
      </c>
      <c r="D4" s="1127" t="s">
        <v>2021</v>
      </c>
      <c r="E4" s="1128">
        <v>559260215</v>
      </c>
      <c r="F4" s="1128">
        <v>50000000</v>
      </c>
      <c r="G4" s="1133">
        <v>609260215</v>
      </c>
      <c r="H4" s="1138">
        <v>600960640</v>
      </c>
      <c r="I4" s="1138">
        <v>50000000</v>
      </c>
      <c r="J4" s="1139">
        <f>SUM(H4:I4)</f>
        <v>650960640</v>
      </c>
    </row>
    <row r="5" spans="3:10" ht="16.5" thickBot="1">
      <c r="C5" s="1126">
        <v>3462</v>
      </c>
      <c r="D5" s="1127" t="s">
        <v>2022</v>
      </c>
      <c r="E5" s="1128">
        <v>509341105</v>
      </c>
      <c r="F5" s="1128">
        <v>324742341</v>
      </c>
      <c r="G5" s="1133">
        <v>834083446</v>
      </c>
      <c r="H5" s="1139">
        <v>512141106</v>
      </c>
      <c r="I5" s="1139">
        <v>634742341</v>
      </c>
      <c r="J5" s="1139">
        <f aca="true" t="shared" si="0" ref="J5:J18">SUM(H5:I5)</f>
        <v>1146883447</v>
      </c>
    </row>
    <row r="6" spans="3:10" ht="16.5" thickBot="1">
      <c r="C6" s="1126">
        <v>3463</v>
      </c>
      <c r="D6" s="1127" t="s">
        <v>2023</v>
      </c>
      <c r="E6" s="1128">
        <v>492944469</v>
      </c>
      <c r="F6" s="1128">
        <v>45000000</v>
      </c>
      <c r="G6" s="1133">
        <v>537944469</v>
      </c>
      <c r="H6" s="1139">
        <v>711045516</v>
      </c>
      <c r="I6" s="1139">
        <v>445000000</v>
      </c>
      <c r="J6" s="1139">
        <f t="shared" si="0"/>
        <v>1156045516</v>
      </c>
    </row>
    <row r="7" spans="3:10" ht="16.5" thickBot="1">
      <c r="C7" s="1126">
        <v>3464</v>
      </c>
      <c r="D7" s="1127" t="s">
        <v>2024</v>
      </c>
      <c r="E7" s="1128">
        <v>173282224</v>
      </c>
      <c r="F7" s="1128">
        <v>144800000</v>
      </c>
      <c r="G7" s="1133">
        <v>318082224</v>
      </c>
      <c r="H7" s="1139">
        <v>173282224</v>
      </c>
      <c r="I7" s="1139">
        <v>144800000</v>
      </c>
      <c r="J7" s="1139">
        <f t="shared" si="0"/>
        <v>318082224</v>
      </c>
    </row>
    <row r="8" spans="3:10" ht="16.5" thickBot="1">
      <c r="C8" s="1126">
        <v>3465</v>
      </c>
      <c r="D8" s="1127" t="s">
        <v>320</v>
      </c>
      <c r="E8" s="1128">
        <v>87868540</v>
      </c>
      <c r="F8" s="1128">
        <v>9000000</v>
      </c>
      <c r="G8" s="1133">
        <v>96868540</v>
      </c>
      <c r="H8" s="1139">
        <v>92868540</v>
      </c>
      <c r="I8" s="1139">
        <v>9000000</v>
      </c>
      <c r="J8" s="1139">
        <f t="shared" si="0"/>
        <v>101868540</v>
      </c>
    </row>
    <row r="9" spans="3:10" ht="16.5" thickBot="1">
      <c r="C9" s="1126">
        <v>3466</v>
      </c>
      <c r="D9" s="1127" t="s">
        <v>2025</v>
      </c>
      <c r="E9" s="1128">
        <v>230065709</v>
      </c>
      <c r="F9" s="1128">
        <v>261104081</v>
      </c>
      <c r="G9" s="1133">
        <v>491169790</v>
      </c>
      <c r="H9" s="1139">
        <v>230065709</v>
      </c>
      <c r="I9" s="1139">
        <v>221104081</v>
      </c>
      <c r="J9" s="1139">
        <f t="shared" si="0"/>
        <v>451169790</v>
      </c>
    </row>
    <row r="10" spans="3:10" ht="16.5" thickBot="1">
      <c r="C10" s="1126">
        <v>3467</v>
      </c>
      <c r="D10" s="1127" t="s">
        <v>0</v>
      </c>
      <c r="E10" s="1128">
        <v>1047929943</v>
      </c>
      <c r="F10" s="1128">
        <v>652253162</v>
      </c>
      <c r="G10" s="1133">
        <v>1700183105</v>
      </c>
      <c r="H10" s="1139">
        <v>1218871818</v>
      </c>
      <c r="I10" s="1139">
        <v>492253162.126</v>
      </c>
      <c r="J10" s="1139">
        <f t="shared" si="0"/>
        <v>1711124980.126</v>
      </c>
    </row>
    <row r="11" spans="3:10" ht="16.5" thickBot="1">
      <c r="C11" s="1126">
        <v>3468</v>
      </c>
      <c r="D11" s="1127" t="s">
        <v>2026</v>
      </c>
      <c r="E11" s="1128">
        <v>360494230</v>
      </c>
      <c r="F11" s="1128">
        <v>10000000</v>
      </c>
      <c r="G11" s="1133">
        <v>370494230</v>
      </c>
      <c r="H11" s="1139">
        <v>306094230</v>
      </c>
      <c r="I11" s="1139">
        <v>10000000</v>
      </c>
      <c r="J11" s="1139">
        <f t="shared" si="0"/>
        <v>316094230</v>
      </c>
    </row>
    <row r="12" spans="3:10" ht="16.5" thickBot="1">
      <c r="C12" s="1126">
        <v>3469</v>
      </c>
      <c r="D12" s="1127" t="s">
        <v>327</v>
      </c>
      <c r="E12" s="1128">
        <v>133091798</v>
      </c>
      <c r="F12" s="1128">
        <v>231450000</v>
      </c>
      <c r="G12" s="1133">
        <v>364541798</v>
      </c>
      <c r="H12" s="1139">
        <v>137091798</v>
      </c>
      <c r="I12" s="1139">
        <v>187050000</v>
      </c>
      <c r="J12" s="1139">
        <f t="shared" si="0"/>
        <v>324141798</v>
      </c>
    </row>
    <row r="13" spans="3:10" ht="16.5" thickBot="1">
      <c r="C13" s="1126">
        <v>3470</v>
      </c>
      <c r="D13" s="1127" t="s">
        <v>2027</v>
      </c>
      <c r="E13" s="1128">
        <v>70566233</v>
      </c>
      <c r="F13" s="1128">
        <v>609142008</v>
      </c>
      <c r="G13" s="1133">
        <v>679708241</v>
      </c>
      <c r="H13" s="1139">
        <v>70566233</v>
      </c>
      <c r="I13" s="1139">
        <v>359582008</v>
      </c>
      <c r="J13" s="1139">
        <f t="shared" si="0"/>
        <v>430148241</v>
      </c>
    </row>
    <row r="14" spans="3:10" ht="16.5" thickBot="1">
      <c r="C14" s="1126">
        <v>3471</v>
      </c>
      <c r="D14" s="1127" t="s">
        <v>2028</v>
      </c>
      <c r="E14" s="1128">
        <v>120513928</v>
      </c>
      <c r="F14" s="1128">
        <v>587450000</v>
      </c>
      <c r="G14" s="1133">
        <v>707963928</v>
      </c>
      <c r="H14" s="1139">
        <v>125513928</v>
      </c>
      <c r="I14" s="1139">
        <v>621710000</v>
      </c>
      <c r="J14" s="1139">
        <f t="shared" si="0"/>
        <v>747223928</v>
      </c>
    </row>
    <row r="15" spans="3:10" ht="16.5" thickBot="1">
      <c r="C15" s="1126">
        <v>3472</v>
      </c>
      <c r="D15" s="1127" t="s">
        <v>2031</v>
      </c>
      <c r="E15" s="1128">
        <v>78472050</v>
      </c>
      <c r="F15" s="1128">
        <v>132500000</v>
      </c>
      <c r="G15" s="1133">
        <v>210972050</v>
      </c>
      <c r="H15" s="1139">
        <v>78872050</v>
      </c>
      <c r="I15" s="1139">
        <v>108500000</v>
      </c>
      <c r="J15" s="1139">
        <f t="shared" si="0"/>
        <v>187372050</v>
      </c>
    </row>
    <row r="16" spans="3:10" ht="16.5" thickBot="1">
      <c r="C16" s="1126">
        <v>3473</v>
      </c>
      <c r="D16" s="1127" t="s">
        <v>749</v>
      </c>
      <c r="E16" s="1128">
        <v>63659705</v>
      </c>
      <c r="F16" s="1128">
        <v>92500000</v>
      </c>
      <c r="G16" s="1133">
        <v>156159705</v>
      </c>
      <c r="H16" s="1139">
        <v>73259705</v>
      </c>
      <c r="I16" s="1139">
        <v>116500000</v>
      </c>
      <c r="J16" s="1139">
        <f t="shared" si="0"/>
        <v>189759705</v>
      </c>
    </row>
    <row r="17" spans="3:10" ht="16.5" thickBot="1">
      <c r="C17" s="1462" t="s">
        <v>1262</v>
      </c>
      <c r="D17" s="1463"/>
      <c r="E17" s="1129">
        <v>3927490150</v>
      </c>
      <c r="F17" s="1129">
        <v>3149941592</v>
      </c>
      <c r="G17" s="1134">
        <v>7077431742</v>
      </c>
      <c r="H17" s="1139">
        <v>4330633497</v>
      </c>
      <c r="I17" s="1139">
        <v>3400241592.126</v>
      </c>
      <c r="J17" s="1139">
        <f t="shared" si="0"/>
        <v>7730875089.125999</v>
      </c>
    </row>
    <row r="18" spans="3:10" ht="16.5" thickBot="1">
      <c r="C18" s="1464" t="s">
        <v>1420</v>
      </c>
      <c r="D18" s="1465"/>
      <c r="E18" s="1130">
        <v>0.55</v>
      </c>
      <c r="F18" s="1130">
        <v>0.45</v>
      </c>
      <c r="G18" s="1135">
        <v>1</v>
      </c>
      <c r="H18" s="1136"/>
      <c r="I18" s="1136"/>
      <c r="J18" s="1136">
        <f t="shared" si="0"/>
        <v>0</v>
      </c>
    </row>
  </sheetData>
  <sheetProtection/>
  <mergeCells count="3">
    <mergeCell ref="C2:G2"/>
    <mergeCell ref="C17:D17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zoomScale="90" zoomScaleNormal="90" zoomScalePageLayoutView="0" workbookViewId="0" topLeftCell="A7">
      <selection activeCell="D11" sqref="D11:G13"/>
    </sheetView>
  </sheetViews>
  <sheetFormatPr defaultColWidth="9.140625" defaultRowHeight="15" customHeight="1"/>
  <cols>
    <col min="1" max="1" width="2.8515625" style="1" customWidth="1"/>
    <col min="2" max="2" width="9.140625" style="1" customWidth="1"/>
    <col min="3" max="3" width="37.421875" style="1" customWidth="1"/>
    <col min="4" max="4" width="62.421875" style="1" customWidth="1"/>
    <col min="5" max="5" width="16.00390625" style="1" customWidth="1"/>
    <col min="6" max="6" width="22.57421875" style="1" customWidth="1"/>
    <col min="7" max="7" width="19.421875" style="4" customWidth="1"/>
    <col min="8" max="16384" width="9.140625" style="1" customWidth="1"/>
  </cols>
  <sheetData>
    <row r="1" spans="2:7" ht="15" customHeight="1">
      <c r="B1" s="1144" t="s">
        <v>334</v>
      </c>
      <c r="C1" s="1144"/>
      <c r="D1" s="1144"/>
      <c r="E1" s="1144"/>
      <c r="F1" s="1144"/>
      <c r="G1" s="1144"/>
    </row>
    <row r="2" spans="2:7" ht="15" customHeight="1">
      <c r="B2" s="1143"/>
      <c r="C2" s="1143"/>
      <c r="D2" s="1143"/>
      <c r="E2" s="1143"/>
      <c r="F2" s="1143"/>
      <c r="G2" s="1143"/>
    </row>
    <row r="3" spans="2:7" ht="15" customHeight="1">
      <c r="B3" s="210"/>
      <c r="C3" s="1157" t="s">
        <v>845</v>
      </c>
      <c r="D3" s="1157"/>
      <c r="E3" s="1157"/>
      <c r="F3" s="1157"/>
      <c r="G3" s="1157"/>
    </row>
    <row r="5" spans="2:7" ht="15" customHeight="1">
      <c r="B5" s="162" t="s">
        <v>4</v>
      </c>
      <c r="C5" s="163" t="s">
        <v>8</v>
      </c>
      <c r="D5" s="164" t="s">
        <v>23</v>
      </c>
      <c r="E5" s="164" t="s">
        <v>7</v>
      </c>
      <c r="F5" s="163" t="s">
        <v>11</v>
      </c>
      <c r="G5" s="165" t="s">
        <v>5</v>
      </c>
    </row>
    <row r="6" spans="2:7" ht="15" customHeight="1">
      <c r="B6" s="1151">
        <v>1</v>
      </c>
      <c r="C6" s="1148" t="s">
        <v>452</v>
      </c>
      <c r="D6" s="167" t="s">
        <v>479</v>
      </c>
      <c r="E6" s="167" t="s">
        <v>464</v>
      </c>
      <c r="F6" s="167" t="s">
        <v>467</v>
      </c>
      <c r="G6" s="212">
        <v>600000</v>
      </c>
    </row>
    <row r="7" spans="2:7" ht="15" customHeight="1">
      <c r="B7" s="1152"/>
      <c r="C7" s="1149"/>
      <c r="D7" s="167" t="s">
        <v>480</v>
      </c>
      <c r="E7" s="167" t="s">
        <v>464</v>
      </c>
      <c r="F7" s="167" t="s">
        <v>472</v>
      </c>
      <c r="G7" s="212">
        <v>2500000</v>
      </c>
    </row>
    <row r="8" spans="2:7" ht="15" customHeight="1" thickBot="1">
      <c r="B8" s="1153"/>
      <c r="C8" s="173"/>
      <c r="D8" s="187"/>
      <c r="E8" s="187"/>
      <c r="F8" s="187"/>
      <c r="G8" s="217"/>
    </row>
    <row r="9" spans="2:7" ht="15" customHeight="1" thickBot="1">
      <c r="B9" s="185"/>
      <c r="C9" s="180"/>
      <c r="D9" s="179" t="s">
        <v>9</v>
      </c>
      <c r="E9" s="180"/>
      <c r="F9" s="180"/>
      <c r="G9" s="218">
        <f>SUM(G6:G8)</f>
        <v>3100000</v>
      </c>
    </row>
    <row r="10" spans="2:7" ht="15" customHeight="1">
      <c r="B10" s="1154">
        <v>2</v>
      </c>
      <c r="C10" s="234"/>
      <c r="D10" s="164"/>
      <c r="E10" s="164"/>
      <c r="F10" s="163"/>
      <c r="G10" s="165"/>
    </row>
    <row r="11" spans="2:7" ht="15" customHeight="1">
      <c r="B11" s="1152"/>
      <c r="C11" s="190"/>
      <c r="D11" s="167" t="s">
        <v>473</v>
      </c>
      <c r="E11" s="167" t="s">
        <v>464</v>
      </c>
      <c r="F11" s="167" t="s">
        <v>476</v>
      </c>
      <c r="G11" s="212">
        <v>1700000</v>
      </c>
    </row>
    <row r="12" spans="2:7" ht="15" customHeight="1">
      <c r="B12" s="1152"/>
      <c r="C12" s="1148" t="s">
        <v>404</v>
      </c>
      <c r="D12" s="167" t="s">
        <v>474</v>
      </c>
      <c r="E12" s="167" t="s">
        <v>464</v>
      </c>
      <c r="F12" s="167" t="s">
        <v>477</v>
      </c>
      <c r="G12" s="212">
        <v>500000</v>
      </c>
    </row>
    <row r="13" spans="2:7" ht="15" customHeight="1">
      <c r="B13" s="1152"/>
      <c r="C13" s="1150"/>
      <c r="D13" s="167" t="s">
        <v>475</v>
      </c>
      <c r="E13" s="167" t="s">
        <v>464</v>
      </c>
      <c r="F13" s="167" t="s">
        <v>478</v>
      </c>
      <c r="G13" s="212">
        <v>594402</v>
      </c>
    </row>
    <row r="14" spans="2:7" ht="15" customHeight="1" thickBot="1">
      <c r="B14" s="1153"/>
      <c r="C14" s="168"/>
      <c r="D14" s="170"/>
      <c r="E14" s="170"/>
      <c r="F14" s="170"/>
      <c r="G14" s="216"/>
    </row>
    <row r="15" spans="2:7" ht="15" customHeight="1" thickBot="1">
      <c r="B15" s="193"/>
      <c r="C15" s="194"/>
      <c r="D15" s="195" t="s">
        <v>9</v>
      </c>
      <c r="E15" s="196"/>
      <c r="F15" s="196"/>
      <c r="G15" s="220">
        <f>SUM(G11:G14)</f>
        <v>2794402</v>
      </c>
    </row>
    <row r="16" spans="2:7" ht="15" customHeight="1">
      <c r="B16" s="1154">
        <v>3</v>
      </c>
      <c r="C16" s="1148" t="s">
        <v>339</v>
      </c>
      <c r="D16" s="167" t="s">
        <v>469</v>
      </c>
      <c r="E16" s="167" t="s">
        <v>464</v>
      </c>
      <c r="F16" s="167" t="s">
        <v>463</v>
      </c>
      <c r="G16" s="212">
        <v>3500000</v>
      </c>
    </row>
    <row r="17" spans="2:7" ht="15" customHeight="1">
      <c r="B17" s="1152"/>
      <c r="C17" s="1149"/>
      <c r="D17" s="167" t="s">
        <v>470</v>
      </c>
      <c r="E17" s="167" t="s">
        <v>464</v>
      </c>
      <c r="F17" s="167" t="s">
        <v>463</v>
      </c>
      <c r="G17" s="212">
        <v>1500000</v>
      </c>
    </row>
    <row r="18" spans="2:7" ht="15" customHeight="1">
      <c r="B18" s="1152"/>
      <c r="C18" s="1149"/>
      <c r="D18" s="167" t="s">
        <v>471</v>
      </c>
      <c r="E18" s="167" t="s">
        <v>464</v>
      </c>
      <c r="F18" s="167" t="s">
        <v>472</v>
      </c>
      <c r="G18" s="212">
        <v>5900000</v>
      </c>
    </row>
    <row r="19" spans="2:7" ht="15" customHeight="1" thickBot="1">
      <c r="B19" s="1153"/>
      <c r="C19" s="172"/>
      <c r="D19" s="173"/>
      <c r="E19" s="173"/>
      <c r="F19" s="173"/>
      <c r="G19" s="213"/>
    </row>
    <row r="20" spans="2:7" ht="15" customHeight="1" thickBot="1">
      <c r="B20" s="183"/>
      <c r="C20" s="178"/>
      <c r="D20" s="179" t="s">
        <v>9</v>
      </c>
      <c r="E20" s="180"/>
      <c r="F20" s="180"/>
      <c r="G20" s="218">
        <f>SUM(G16:G19)</f>
        <v>10900000</v>
      </c>
    </row>
    <row r="21" spans="2:5" ht="15" customHeight="1">
      <c r="B21" s="1154">
        <v>4</v>
      </c>
      <c r="C21" s="1156" t="s">
        <v>399</v>
      </c>
      <c r="E21" s="187"/>
    </row>
    <row r="22" spans="2:7" ht="15" customHeight="1">
      <c r="B22" s="1152"/>
      <c r="C22" s="1149"/>
      <c r="D22" s="167" t="s">
        <v>465</v>
      </c>
      <c r="E22" s="167" t="s">
        <v>464</v>
      </c>
      <c r="F22" s="167" t="s">
        <v>467</v>
      </c>
      <c r="G22" s="212">
        <v>4300000</v>
      </c>
    </row>
    <row r="23" spans="2:7" ht="15" customHeight="1">
      <c r="B23" s="1152"/>
      <c r="C23" s="1150"/>
      <c r="D23" s="167" t="s">
        <v>466</v>
      </c>
      <c r="E23" s="167" t="s">
        <v>464</v>
      </c>
      <c r="F23" s="167" t="s">
        <v>468</v>
      </c>
      <c r="G23" s="212">
        <v>2300000</v>
      </c>
    </row>
    <row r="24" spans="2:7" ht="15" customHeight="1" thickBot="1">
      <c r="B24" s="1153"/>
      <c r="C24" s="172"/>
      <c r="D24" s="187"/>
      <c r="E24" s="187"/>
      <c r="F24" s="187"/>
      <c r="G24" s="217"/>
    </row>
    <row r="25" spans="2:7" ht="15" customHeight="1" thickBot="1">
      <c r="B25" s="193"/>
      <c r="C25" s="194"/>
      <c r="D25" s="195" t="s">
        <v>9</v>
      </c>
      <c r="E25" s="196"/>
      <c r="F25" s="196"/>
      <c r="G25" s="220">
        <f>SUM(G22:G24)</f>
        <v>6600000</v>
      </c>
    </row>
    <row r="26" spans="2:7" ht="15" customHeight="1">
      <c r="B26" s="1154">
        <v>5</v>
      </c>
      <c r="C26" s="234"/>
      <c r="D26" s="164"/>
      <c r="E26" s="164"/>
      <c r="F26" s="163"/>
      <c r="G26" s="165"/>
    </row>
    <row r="27" spans="2:7" ht="15" customHeight="1">
      <c r="B27" s="1152"/>
      <c r="C27" s="1148" t="s">
        <v>346</v>
      </c>
      <c r="D27" s="167" t="s">
        <v>458</v>
      </c>
      <c r="E27" s="167" t="s">
        <v>464</v>
      </c>
      <c r="F27" s="167" t="s">
        <v>461</v>
      </c>
      <c r="G27" s="212">
        <v>1500000</v>
      </c>
    </row>
    <row r="28" spans="2:7" ht="15" customHeight="1">
      <c r="B28" s="1152"/>
      <c r="C28" s="1149"/>
      <c r="D28" s="167" t="s">
        <v>459</v>
      </c>
      <c r="E28" s="167" t="s">
        <v>464</v>
      </c>
      <c r="F28" s="167" t="s">
        <v>462</v>
      </c>
      <c r="G28" s="212">
        <v>3300000</v>
      </c>
    </row>
    <row r="29" spans="2:7" ht="15" customHeight="1">
      <c r="B29" s="1152"/>
      <c r="C29" s="1149"/>
      <c r="D29" s="167" t="s">
        <v>460</v>
      </c>
      <c r="E29" s="167" t="s">
        <v>464</v>
      </c>
      <c r="F29" s="167" t="s">
        <v>463</v>
      </c>
      <c r="G29" s="212">
        <v>3500000</v>
      </c>
    </row>
    <row r="30" spans="2:7" ht="15" customHeight="1" thickBot="1">
      <c r="B30" s="1153"/>
      <c r="C30" s="172"/>
      <c r="D30" s="173"/>
      <c r="E30" s="173"/>
      <c r="F30" s="173"/>
      <c r="G30" s="213"/>
    </row>
    <row r="31" spans="2:12" ht="15" customHeight="1" thickBot="1">
      <c r="B31" s="185"/>
      <c r="C31" s="178"/>
      <c r="D31" s="179" t="s">
        <v>9</v>
      </c>
      <c r="E31" s="180"/>
      <c r="F31" s="180"/>
      <c r="G31" s="214">
        <f>SUM(G27:G30)</f>
        <v>8300000</v>
      </c>
      <c r="L31" s="167"/>
    </row>
    <row r="32" spans="2:7" ht="15" customHeight="1" thickBot="1">
      <c r="B32" s="166"/>
      <c r="C32" s="168"/>
      <c r="D32" s="170"/>
      <c r="E32" s="170"/>
      <c r="F32" s="170"/>
      <c r="G32" s="216"/>
    </row>
    <row r="33" spans="2:7" ht="15" customHeight="1" thickBot="1">
      <c r="B33" s="193"/>
      <c r="C33" s="194"/>
      <c r="D33" s="195" t="s">
        <v>457</v>
      </c>
      <c r="E33" s="196"/>
      <c r="F33" s="196"/>
      <c r="G33" s="220">
        <f>SUM(G15,G25,G9,G20,G31)</f>
        <v>31694402</v>
      </c>
    </row>
  </sheetData>
  <sheetProtection/>
  <mergeCells count="13">
    <mergeCell ref="B1:G1"/>
    <mergeCell ref="B2:G2"/>
    <mergeCell ref="C3:G3"/>
    <mergeCell ref="C27:C29"/>
    <mergeCell ref="C16:C18"/>
    <mergeCell ref="C6:C7"/>
    <mergeCell ref="B6:B8"/>
    <mergeCell ref="B10:B14"/>
    <mergeCell ref="B16:B19"/>
    <mergeCell ref="B21:B24"/>
    <mergeCell ref="B26:B30"/>
    <mergeCell ref="C21:C23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1">
      <selection activeCell="M4" sqref="M4"/>
    </sheetView>
  </sheetViews>
  <sheetFormatPr defaultColWidth="9.140625" defaultRowHeight="15"/>
  <cols>
    <col min="3" max="3" width="22.00390625" style="0" customWidth="1"/>
    <col min="4" max="4" width="44.140625" style="0" customWidth="1"/>
    <col min="5" max="5" width="14.00390625" style="0" customWidth="1"/>
    <col min="6" max="6" width="26.8515625" style="0" customWidth="1"/>
    <col min="7" max="7" width="15.00390625" style="0" customWidth="1"/>
  </cols>
  <sheetData>
    <row r="1" spans="2:8" ht="15">
      <c r="B1" s="1144" t="s">
        <v>6</v>
      </c>
      <c r="C1" s="1144"/>
      <c r="D1" s="1144"/>
      <c r="E1" s="1144"/>
      <c r="F1" s="1144"/>
      <c r="G1" s="1144"/>
      <c r="H1" s="1144"/>
    </row>
    <row r="2" spans="2:8" ht="15">
      <c r="B2" s="1144" t="s">
        <v>256</v>
      </c>
      <c r="C2" s="1144"/>
      <c r="D2" s="1144"/>
      <c r="E2" s="1144"/>
      <c r="F2" s="1144"/>
      <c r="G2" s="1144"/>
      <c r="H2" s="1144"/>
    </row>
    <row r="3" ht="15.75" thickBot="1"/>
    <row r="4" spans="2:7" ht="26.25" thickBot="1">
      <c r="B4" s="84" t="s">
        <v>4</v>
      </c>
      <c r="C4" s="7" t="s">
        <v>8</v>
      </c>
      <c r="D4" s="2" t="s">
        <v>23</v>
      </c>
      <c r="E4" s="2" t="s">
        <v>7</v>
      </c>
      <c r="F4" s="7" t="s">
        <v>11</v>
      </c>
      <c r="G4" s="100" t="s">
        <v>5</v>
      </c>
    </row>
    <row r="5" spans="2:7" s="86" customFormat="1" ht="13.5" thickBot="1">
      <c r="B5" s="1169">
        <v>1</v>
      </c>
      <c r="C5" s="93" t="s">
        <v>39</v>
      </c>
      <c r="D5" s="2"/>
      <c r="E5" s="2"/>
      <c r="F5" s="2"/>
      <c r="G5" s="92"/>
    </row>
    <row r="6" spans="2:7" s="86" customFormat="1" ht="15.75" customHeight="1" thickBot="1">
      <c r="B6" s="1170"/>
      <c r="C6" s="2"/>
      <c r="D6" s="2"/>
      <c r="E6" s="2"/>
      <c r="F6" s="2"/>
      <c r="G6" s="92"/>
    </row>
    <row r="7" spans="2:7" s="86" customFormat="1" ht="13.5" customHeight="1" thickBot="1">
      <c r="B7" s="1170"/>
      <c r="C7" s="1177" t="s">
        <v>12</v>
      </c>
      <c r="D7" s="88" t="s">
        <v>223</v>
      </c>
      <c r="E7" s="88" t="s">
        <v>257</v>
      </c>
      <c r="F7" s="88" t="s">
        <v>258</v>
      </c>
      <c r="G7" s="94">
        <v>3000000</v>
      </c>
    </row>
    <row r="8" spans="2:7" s="86" customFormat="1" ht="15.75" customHeight="1" thickBot="1">
      <c r="B8" s="1170"/>
      <c r="C8" s="1178"/>
      <c r="D8" s="88" t="s">
        <v>224</v>
      </c>
      <c r="E8" s="88" t="s">
        <v>257</v>
      </c>
      <c r="F8" s="88" t="s">
        <v>258</v>
      </c>
      <c r="G8" s="94">
        <v>11000000</v>
      </c>
    </row>
    <row r="9" spans="2:7" s="86" customFormat="1" ht="15.75" customHeight="1" thickBot="1">
      <c r="B9" s="1170"/>
      <c r="C9" s="1178"/>
      <c r="D9" s="88" t="s">
        <v>221</v>
      </c>
      <c r="E9" s="88" t="s">
        <v>257</v>
      </c>
      <c r="F9" s="88" t="s">
        <v>258</v>
      </c>
      <c r="G9" s="94">
        <v>1000000</v>
      </c>
    </row>
    <row r="10" spans="2:7" s="86" customFormat="1" ht="15.75" customHeight="1" thickBot="1">
      <c r="B10" s="1170"/>
      <c r="C10" s="1178"/>
      <c r="D10" s="88" t="s">
        <v>215</v>
      </c>
      <c r="E10" s="88" t="s">
        <v>257</v>
      </c>
      <c r="F10" s="104" t="s">
        <v>262</v>
      </c>
      <c r="G10" s="94">
        <v>3000000</v>
      </c>
    </row>
    <row r="11" spans="2:7" s="86" customFormat="1" ht="26.25" thickBot="1">
      <c r="B11" s="1170"/>
      <c r="C11" s="1178"/>
      <c r="D11" s="88" t="s">
        <v>216</v>
      </c>
      <c r="E11" s="88" t="s">
        <v>257</v>
      </c>
      <c r="F11" s="69" t="s">
        <v>259</v>
      </c>
      <c r="G11" s="94">
        <v>3000000</v>
      </c>
    </row>
    <row r="12" spans="2:7" s="86" customFormat="1" ht="15.75" customHeight="1" thickBot="1">
      <c r="B12" s="1170"/>
      <c r="C12" s="1178"/>
      <c r="D12" s="88" t="s">
        <v>263</v>
      </c>
      <c r="E12" s="88" t="s">
        <v>257</v>
      </c>
      <c r="F12" s="14" t="s">
        <v>264</v>
      </c>
      <c r="G12" s="94">
        <v>3500000</v>
      </c>
    </row>
    <row r="13" spans="2:7" s="86" customFormat="1" ht="15.75" customHeight="1" thickBot="1">
      <c r="B13" s="1170"/>
      <c r="C13" s="1178"/>
      <c r="D13" s="88" t="s">
        <v>265</v>
      </c>
      <c r="E13" s="88" t="s">
        <v>257</v>
      </c>
      <c r="F13" s="14" t="s">
        <v>264</v>
      </c>
      <c r="G13" s="89">
        <v>1500000</v>
      </c>
    </row>
    <row r="14" spans="2:7" s="86" customFormat="1" ht="15.75" customHeight="1" thickBot="1">
      <c r="B14" s="1170"/>
      <c r="C14" s="1178"/>
      <c r="D14" s="88" t="s">
        <v>273</v>
      </c>
      <c r="E14" s="88" t="s">
        <v>257</v>
      </c>
      <c r="F14" s="78" t="s">
        <v>235</v>
      </c>
      <c r="G14" s="102">
        <v>7000000</v>
      </c>
    </row>
    <row r="15" spans="2:7" s="86" customFormat="1" ht="15.75" customHeight="1" thickBot="1">
      <c r="B15" s="1170"/>
      <c r="C15" s="1178"/>
      <c r="D15" s="88" t="s">
        <v>268</v>
      </c>
      <c r="E15" s="88" t="s">
        <v>257</v>
      </c>
      <c r="F15" s="78" t="s">
        <v>269</v>
      </c>
      <c r="G15" s="102">
        <v>3000000</v>
      </c>
    </row>
    <row r="16" spans="2:7" s="86" customFormat="1" ht="26.25" thickBot="1">
      <c r="B16" s="1170"/>
      <c r="C16" s="1178"/>
      <c r="D16" s="12" t="s">
        <v>271</v>
      </c>
      <c r="E16" s="88" t="s">
        <v>257</v>
      </c>
      <c r="F16" s="103" t="s">
        <v>270</v>
      </c>
      <c r="G16" s="102">
        <v>9000000</v>
      </c>
    </row>
    <row r="17" spans="2:7" s="86" customFormat="1" ht="15.75" customHeight="1" thickBot="1">
      <c r="B17" s="1170"/>
      <c r="C17" s="1178"/>
      <c r="D17" s="101" t="s">
        <v>272</v>
      </c>
      <c r="E17" s="88" t="s">
        <v>257</v>
      </c>
      <c r="F17" s="78" t="s">
        <v>252</v>
      </c>
      <c r="G17" s="102">
        <v>2000000</v>
      </c>
    </row>
    <row r="18" spans="2:7" s="86" customFormat="1" ht="15.75" customHeight="1" thickBot="1">
      <c r="B18" s="1171"/>
      <c r="C18" s="1179"/>
      <c r="D18" s="99" t="s">
        <v>9</v>
      </c>
      <c r="E18" s="88"/>
      <c r="F18" s="88"/>
      <c r="G18" s="96">
        <f>SUM(G7:G17)</f>
        <v>47000000</v>
      </c>
    </row>
    <row r="19" spans="2:7" s="86" customFormat="1" ht="13.5" thickBot="1">
      <c r="B19" s="1169">
        <v>2</v>
      </c>
      <c r="C19" s="1175" t="s">
        <v>3</v>
      </c>
      <c r="D19" s="1180" t="s">
        <v>228</v>
      </c>
      <c r="E19" s="88" t="s">
        <v>257</v>
      </c>
      <c r="F19" s="88" t="s">
        <v>230</v>
      </c>
      <c r="G19" s="94">
        <v>1800000</v>
      </c>
    </row>
    <row r="20" spans="2:7" s="86" customFormat="1" ht="15.75" customHeight="1" thickBot="1">
      <c r="B20" s="1170"/>
      <c r="C20" s="1182"/>
      <c r="D20" s="1181"/>
      <c r="E20" s="141" t="s">
        <v>257</v>
      </c>
      <c r="F20" s="141" t="s">
        <v>231</v>
      </c>
      <c r="G20" s="144">
        <f>1500000+163918</f>
        <v>1663918</v>
      </c>
    </row>
    <row r="21" spans="2:7" s="86" customFormat="1" ht="15.75" customHeight="1" thickBot="1">
      <c r="B21" s="1170"/>
      <c r="C21" s="1182"/>
      <c r="D21" s="101" t="s">
        <v>237</v>
      </c>
      <c r="E21" s="88" t="s">
        <v>257</v>
      </c>
      <c r="F21" s="101" t="s">
        <v>234</v>
      </c>
      <c r="G21" s="102">
        <v>1500000</v>
      </c>
    </row>
    <row r="22" spans="2:7" s="86" customFormat="1" ht="15.75" customHeight="1" thickBot="1">
      <c r="B22" s="1171"/>
      <c r="C22" s="1176"/>
      <c r="D22" s="99" t="s">
        <v>9</v>
      </c>
      <c r="E22" s="88"/>
      <c r="F22" s="88"/>
      <c r="G22" s="96">
        <f>SUM(G19:G21)</f>
        <v>4963918</v>
      </c>
    </row>
    <row r="23" spans="2:7" s="86" customFormat="1" ht="13.5" thickBot="1">
      <c r="B23" s="1169">
        <v>3</v>
      </c>
      <c r="C23" s="1172" t="s">
        <v>0</v>
      </c>
      <c r="D23" s="88" t="s">
        <v>222</v>
      </c>
      <c r="E23" s="88" t="s">
        <v>257</v>
      </c>
      <c r="F23" s="88" t="s">
        <v>258</v>
      </c>
      <c r="G23" s="94">
        <v>3000000</v>
      </c>
    </row>
    <row r="24" spans="2:7" s="86" customFormat="1" ht="15.75" customHeight="1" thickBot="1">
      <c r="B24" s="1170"/>
      <c r="C24" s="1173"/>
      <c r="D24" s="88" t="s">
        <v>225</v>
      </c>
      <c r="E24" s="88" t="s">
        <v>257</v>
      </c>
      <c r="F24" s="104" t="s">
        <v>232</v>
      </c>
      <c r="G24" s="94">
        <v>4000000</v>
      </c>
    </row>
    <row r="25" spans="2:7" s="86" customFormat="1" ht="15.75" customHeight="1" thickBot="1">
      <c r="B25" s="1170"/>
      <c r="C25" s="1173"/>
      <c r="D25" s="88" t="s">
        <v>226</v>
      </c>
      <c r="E25" s="88" t="s">
        <v>257</v>
      </c>
      <c r="F25" s="104" t="s">
        <v>260</v>
      </c>
      <c r="G25" s="94">
        <v>4000000</v>
      </c>
    </row>
    <row r="26" spans="2:7" s="86" customFormat="1" ht="15.75" customHeight="1" thickBot="1">
      <c r="B26" s="1170"/>
      <c r="C26" s="1173"/>
      <c r="D26" s="88" t="s">
        <v>227</v>
      </c>
      <c r="E26" s="88" t="s">
        <v>257</v>
      </c>
      <c r="F26" s="104" t="s">
        <v>261</v>
      </c>
      <c r="G26" s="94">
        <v>4000000</v>
      </c>
    </row>
    <row r="27" spans="2:7" s="86" customFormat="1" ht="26.25" thickBot="1">
      <c r="B27" s="1170"/>
      <c r="C27" s="1173"/>
      <c r="D27" s="139" t="s">
        <v>266</v>
      </c>
      <c r="E27" s="141" t="s">
        <v>257</v>
      </c>
      <c r="F27" s="142" t="s">
        <v>264</v>
      </c>
      <c r="G27" s="143">
        <v>8000000</v>
      </c>
    </row>
    <row r="28" spans="2:7" s="86" customFormat="1" ht="26.25" thickBot="1">
      <c r="B28" s="1170"/>
      <c r="C28" s="1173"/>
      <c r="D28" s="139" t="s">
        <v>236</v>
      </c>
      <c r="E28" s="141" t="s">
        <v>257</v>
      </c>
      <c r="F28" s="142" t="s">
        <v>267</v>
      </c>
      <c r="G28" s="143">
        <v>4000000</v>
      </c>
    </row>
    <row r="29" spans="2:7" s="86" customFormat="1" ht="15.75" customHeight="1" thickBot="1">
      <c r="B29" s="1171"/>
      <c r="C29" s="1174"/>
      <c r="D29" s="99" t="s">
        <v>9</v>
      </c>
      <c r="E29" s="88"/>
      <c r="F29" s="88"/>
      <c r="G29" s="106">
        <f>SUM(G23:G28)</f>
        <v>27000000</v>
      </c>
    </row>
    <row r="30" spans="2:7" s="86" customFormat="1" ht="13.5" thickBot="1">
      <c r="B30" s="1169">
        <v>4</v>
      </c>
      <c r="C30" s="1175" t="s">
        <v>190</v>
      </c>
      <c r="D30" s="88" t="s">
        <v>229</v>
      </c>
      <c r="E30" s="141" t="s">
        <v>257</v>
      </c>
      <c r="F30" s="141" t="s">
        <v>233</v>
      </c>
      <c r="G30" s="144">
        <v>2000000</v>
      </c>
    </row>
    <row r="31" spans="2:7" s="86" customFormat="1" ht="13.5" thickBot="1">
      <c r="B31" s="1171"/>
      <c r="C31" s="1176"/>
      <c r="D31" s="8" t="s">
        <v>9</v>
      </c>
      <c r="E31" s="5"/>
      <c r="F31" s="5"/>
      <c r="G31" s="92">
        <f>SUM(G30)</f>
        <v>2000000</v>
      </c>
    </row>
    <row r="32" spans="2:7" s="86" customFormat="1" ht="13.5" thickBot="1">
      <c r="B32" s="88"/>
      <c r="C32" s="2"/>
      <c r="D32" s="8" t="s">
        <v>274</v>
      </c>
      <c r="E32" s="2"/>
      <c r="F32" s="5"/>
      <c r="G32" s="92">
        <f>SUM(G31,G29,G22,G18)</f>
        <v>80963918</v>
      </c>
    </row>
    <row r="33" spans="6:7" ht="15">
      <c r="F33" s="107"/>
      <c r="G33" s="145">
        <f>G32-G34</f>
        <v>-1000000</v>
      </c>
    </row>
    <row r="34" spans="4:8" ht="15">
      <c r="D34" s="140"/>
      <c r="E34" s="140"/>
      <c r="F34" s="107"/>
      <c r="G34" s="140">
        <v>81963918</v>
      </c>
      <c r="H34" s="140"/>
    </row>
    <row r="35" spans="4:8" ht="15">
      <c r="D35" s="140"/>
      <c r="E35" s="140" t="s">
        <v>275</v>
      </c>
      <c r="F35" s="107">
        <v>18000000</v>
      </c>
      <c r="G35" s="140"/>
      <c r="H35" s="140"/>
    </row>
    <row r="36" spans="4:8" ht="15">
      <c r="D36" s="140"/>
      <c r="E36" s="140" t="s">
        <v>233</v>
      </c>
      <c r="F36" s="107">
        <v>22800000</v>
      </c>
      <c r="G36" s="140"/>
      <c r="H36" s="140"/>
    </row>
    <row r="37" spans="4:8" ht="15">
      <c r="D37" s="140"/>
      <c r="E37" s="140" t="s">
        <v>264</v>
      </c>
      <c r="F37" s="107">
        <v>16500000</v>
      </c>
      <c r="G37" s="140"/>
      <c r="H37" s="140"/>
    </row>
    <row r="38" spans="4:8" ht="15">
      <c r="D38" s="140"/>
      <c r="E38" s="140" t="s">
        <v>270</v>
      </c>
      <c r="F38" s="107">
        <v>21000000</v>
      </c>
      <c r="G38" s="140"/>
      <c r="H38" s="140"/>
    </row>
    <row r="39" spans="4:8" ht="15">
      <c r="D39" s="140"/>
      <c r="E39" s="140"/>
      <c r="F39" s="107"/>
      <c r="G39" s="140"/>
      <c r="H39" s="140"/>
    </row>
    <row r="40" spans="4:8" ht="15">
      <c r="D40" s="140"/>
      <c r="E40" s="140"/>
      <c r="F40" s="107"/>
      <c r="G40" s="140"/>
      <c r="H40" s="140"/>
    </row>
    <row r="41" spans="4:8" ht="15">
      <c r="D41" s="140"/>
      <c r="E41" s="140"/>
      <c r="F41" s="107"/>
      <c r="G41" s="140"/>
      <c r="H41" s="140"/>
    </row>
    <row r="42" spans="4:8" ht="15">
      <c r="D42" s="140"/>
      <c r="E42" s="140"/>
      <c r="F42" s="107">
        <f>SUM(F35:F41)</f>
        <v>78300000</v>
      </c>
      <c r="G42" s="140"/>
      <c r="H42" s="140"/>
    </row>
    <row r="43" spans="4:8" ht="15">
      <c r="D43" s="140"/>
      <c r="E43" s="140"/>
      <c r="F43" s="107"/>
      <c r="G43" s="140"/>
      <c r="H43" s="140"/>
    </row>
    <row r="44" spans="4:8" ht="15">
      <c r="D44" s="140"/>
      <c r="E44" s="140"/>
      <c r="F44" s="107"/>
      <c r="G44" s="140"/>
      <c r="H44" s="140"/>
    </row>
    <row r="45" spans="4:8" ht="15">
      <c r="D45" s="140"/>
      <c r="E45" s="140"/>
      <c r="F45" s="107"/>
      <c r="G45" s="140"/>
      <c r="H45" s="140"/>
    </row>
    <row r="46" spans="4:8" ht="15">
      <c r="D46" s="140"/>
      <c r="E46" s="140"/>
      <c r="F46" s="107"/>
      <c r="G46" s="140"/>
      <c r="H46" s="140"/>
    </row>
    <row r="47" spans="4:8" ht="15">
      <c r="D47" s="140"/>
      <c r="E47" s="140"/>
      <c r="F47" s="107"/>
      <c r="G47" s="140"/>
      <c r="H47" s="140"/>
    </row>
    <row r="48" spans="4:8" ht="15">
      <c r="D48" s="140"/>
      <c r="E48" s="140"/>
      <c r="F48" s="107"/>
      <c r="G48" s="140"/>
      <c r="H48" s="140"/>
    </row>
    <row r="49" spans="4:8" ht="15">
      <c r="D49" s="140"/>
      <c r="E49" s="140"/>
      <c r="F49" s="107"/>
      <c r="G49" s="140"/>
      <c r="H49" s="140"/>
    </row>
    <row r="50" spans="4:8" ht="15">
      <c r="D50" s="140"/>
      <c r="E50" s="140"/>
      <c r="F50" s="107"/>
      <c r="G50" s="140"/>
      <c r="H50" s="140"/>
    </row>
    <row r="51" ht="15">
      <c r="F51" s="107"/>
    </row>
    <row r="52" ht="15">
      <c r="F52" s="107"/>
    </row>
    <row r="53" ht="15">
      <c r="F53" s="107"/>
    </row>
    <row r="54" ht="15">
      <c r="F54" s="107"/>
    </row>
    <row r="55" ht="15">
      <c r="F55" s="107"/>
    </row>
    <row r="56" ht="15">
      <c r="F56" s="107"/>
    </row>
    <row r="57" ht="15">
      <c r="F57" s="107"/>
    </row>
    <row r="58" ht="15">
      <c r="F58" s="107"/>
    </row>
  </sheetData>
  <sheetProtection/>
  <mergeCells count="11">
    <mergeCell ref="B19:B22"/>
    <mergeCell ref="B23:B29"/>
    <mergeCell ref="C23:C29"/>
    <mergeCell ref="C30:C31"/>
    <mergeCell ref="B30:B31"/>
    <mergeCell ref="B1:H1"/>
    <mergeCell ref="B2:H2"/>
    <mergeCell ref="C7:C18"/>
    <mergeCell ref="B5:B18"/>
    <mergeCell ref="D19:D20"/>
    <mergeCell ref="C19:C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13">
      <selection activeCell="D26" sqref="D26:G29"/>
    </sheetView>
  </sheetViews>
  <sheetFormatPr defaultColWidth="9.140625" defaultRowHeight="15"/>
  <cols>
    <col min="1" max="1" width="9.140625" style="86" customWidth="1"/>
    <col min="2" max="2" width="5.57421875" style="86" customWidth="1"/>
    <col min="3" max="3" width="27.57421875" style="86" customWidth="1"/>
    <col min="4" max="4" width="57.421875" style="86" customWidth="1"/>
    <col min="5" max="5" width="11.28125" style="86" customWidth="1"/>
    <col min="6" max="6" width="25.00390625" style="86" customWidth="1"/>
    <col min="7" max="7" width="13.7109375" style="87" customWidth="1"/>
    <col min="8" max="16384" width="9.140625" style="86" customWidth="1"/>
  </cols>
  <sheetData>
    <row r="1" spans="2:8" ht="12.75">
      <c r="B1" s="1144" t="s">
        <v>6</v>
      </c>
      <c r="C1" s="1144"/>
      <c r="D1" s="1144"/>
      <c r="E1" s="1144"/>
      <c r="F1" s="1144"/>
      <c r="G1" s="1144"/>
      <c r="H1" s="1144"/>
    </row>
    <row r="2" spans="2:8" ht="13.5" thickBot="1">
      <c r="B2" s="1144" t="s">
        <v>238</v>
      </c>
      <c r="C2" s="1144"/>
      <c r="D2" s="1144"/>
      <c r="E2" s="1144"/>
      <c r="F2" s="1144"/>
      <c r="G2" s="1144"/>
      <c r="H2" s="1144"/>
    </row>
    <row r="3" spans="2:7" ht="26.25" thickBot="1">
      <c r="B3" s="79" t="s">
        <v>4</v>
      </c>
      <c r="C3" s="16" t="s">
        <v>8</v>
      </c>
      <c r="D3" s="2" t="s">
        <v>23</v>
      </c>
      <c r="E3" s="2" t="s">
        <v>7</v>
      </c>
      <c r="F3" s="7" t="s">
        <v>11</v>
      </c>
      <c r="G3" s="17" t="s">
        <v>5</v>
      </c>
    </row>
    <row r="4" spans="2:7" ht="39" thickBot="1">
      <c r="B4" s="1169">
        <v>1</v>
      </c>
      <c r="C4" s="1192" t="s">
        <v>12</v>
      </c>
      <c r="D4" s="5" t="s">
        <v>196</v>
      </c>
      <c r="E4" s="5" t="s">
        <v>194</v>
      </c>
      <c r="F4" s="5" t="s">
        <v>194</v>
      </c>
      <c r="G4" s="89">
        <v>6000000</v>
      </c>
    </row>
    <row r="5" spans="2:7" ht="26.25" thickBot="1">
      <c r="B5" s="1170"/>
      <c r="C5" s="1193"/>
      <c r="D5" s="5" t="s">
        <v>240</v>
      </c>
      <c r="E5" s="5" t="s">
        <v>194</v>
      </c>
      <c r="F5" s="5" t="s">
        <v>210</v>
      </c>
      <c r="G5" s="89">
        <v>4600000</v>
      </c>
    </row>
    <row r="6" spans="2:7" ht="15.75" customHeight="1" thickBot="1">
      <c r="B6" s="1170"/>
      <c r="C6" s="1193"/>
      <c r="D6" s="5" t="s">
        <v>255</v>
      </c>
      <c r="E6" s="5" t="s">
        <v>194</v>
      </c>
      <c r="F6" s="5" t="s">
        <v>212</v>
      </c>
      <c r="G6" s="89">
        <v>1500000</v>
      </c>
    </row>
    <row r="7" spans="2:7" ht="26.25" thickBot="1">
      <c r="B7" s="1170"/>
      <c r="C7" s="1193"/>
      <c r="D7" s="88" t="s">
        <v>254</v>
      </c>
      <c r="E7" s="88" t="s">
        <v>194</v>
      </c>
      <c r="F7" s="5" t="s">
        <v>214</v>
      </c>
      <c r="G7" s="89">
        <v>4500000</v>
      </c>
    </row>
    <row r="8" spans="2:7" ht="13.5" thickBot="1">
      <c r="B8" s="1170"/>
      <c r="C8" s="1193"/>
      <c r="D8" s="141" t="s">
        <v>330</v>
      </c>
      <c r="E8" s="141" t="s">
        <v>194</v>
      </c>
      <c r="F8" s="139" t="s">
        <v>194</v>
      </c>
      <c r="G8" s="143">
        <v>1000000</v>
      </c>
    </row>
    <row r="9" spans="2:7" ht="13.5" thickBot="1">
      <c r="B9" s="1170"/>
      <c r="C9" s="1193"/>
      <c r="D9" s="5" t="s">
        <v>213</v>
      </c>
      <c r="E9" s="5" t="s">
        <v>194</v>
      </c>
      <c r="F9" s="5" t="s">
        <v>211</v>
      </c>
      <c r="G9" s="89">
        <v>6000000</v>
      </c>
    </row>
    <row r="10" spans="2:7" ht="15.75" customHeight="1" thickBot="1">
      <c r="B10" s="1171"/>
      <c r="C10" s="1194"/>
      <c r="D10" s="8" t="s">
        <v>9</v>
      </c>
      <c r="E10" s="5"/>
      <c r="F10" s="5"/>
      <c r="G10" s="92">
        <f>SUM(G4:G9)</f>
        <v>23600000</v>
      </c>
    </row>
    <row r="11" spans="2:7" ht="13.5" thickBot="1">
      <c r="B11" s="1169">
        <v>2</v>
      </c>
      <c r="C11" s="1183" t="s">
        <v>3</v>
      </c>
      <c r="D11" s="5" t="s">
        <v>202</v>
      </c>
      <c r="E11" s="5" t="s">
        <v>194</v>
      </c>
      <c r="F11" s="5" t="s">
        <v>194</v>
      </c>
      <c r="G11" s="89">
        <v>3000000</v>
      </c>
    </row>
    <row r="12" spans="2:7" ht="13.5" thickBot="1">
      <c r="B12" s="1170"/>
      <c r="C12" s="1184"/>
      <c r="D12" s="5" t="s">
        <v>204</v>
      </c>
      <c r="E12" s="5" t="s">
        <v>194</v>
      </c>
      <c r="F12" s="90" t="s">
        <v>219</v>
      </c>
      <c r="G12" s="91">
        <v>1000000</v>
      </c>
    </row>
    <row r="13" spans="2:7" ht="15.75" customHeight="1" thickBot="1">
      <c r="B13" s="1170"/>
      <c r="C13" s="1184"/>
      <c r="D13" s="5" t="s">
        <v>242</v>
      </c>
      <c r="E13" s="5" t="s">
        <v>194</v>
      </c>
      <c r="F13" s="5" t="s">
        <v>209</v>
      </c>
      <c r="G13" s="89">
        <v>1500000</v>
      </c>
    </row>
    <row r="14" spans="2:7" ht="15.75" customHeight="1" thickBot="1">
      <c r="B14" s="1170"/>
      <c r="C14" s="1184"/>
      <c r="D14" s="5" t="s">
        <v>241</v>
      </c>
      <c r="E14" s="5" t="s">
        <v>194</v>
      </c>
      <c r="F14" s="5" t="s">
        <v>198</v>
      </c>
      <c r="G14" s="89">
        <v>500000</v>
      </c>
    </row>
    <row r="15" spans="2:7" ht="15.75" customHeight="1" thickBot="1">
      <c r="B15" s="1170"/>
      <c r="C15" s="1184"/>
      <c r="D15" s="5" t="s">
        <v>201</v>
      </c>
      <c r="E15" s="5" t="s">
        <v>194</v>
      </c>
      <c r="F15" s="5" t="s">
        <v>244</v>
      </c>
      <c r="G15" s="89">
        <v>1500000</v>
      </c>
    </row>
    <row r="16" spans="2:7" ht="15.75" customHeight="1" thickBot="1">
      <c r="B16" s="1170"/>
      <c r="C16" s="1184"/>
      <c r="D16" s="14" t="s">
        <v>253</v>
      </c>
      <c r="E16" s="88" t="s">
        <v>194</v>
      </c>
      <c r="F16" s="88" t="s">
        <v>247</v>
      </c>
      <c r="G16" s="89">
        <v>1500000</v>
      </c>
    </row>
    <row r="17" spans="2:7" ht="15.75" customHeight="1" thickBot="1">
      <c r="B17" s="1170"/>
      <c r="C17" s="1184"/>
      <c r="D17" s="14" t="s">
        <v>208</v>
      </c>
      <c r="E17" s="88" t="s">
        <v>194</v>
      </c>
      <c r="F17" s="88" t="s">
        <v>250</v>
      </c>
      <c r="G17" s="89">
        <v>1000000</v>
      </c>
    </row>
    <row r="18" spans="2:7" ht="15.75" customHeight="1" thickBot="1">
      <c r="B18" s="1170"/>
      <c r="C18" s="1184"/>
      <c r="D18" s="142" t="s">
        <v>331</v>
      </c>
      <c r="E18" s="139" t="s">
        <v>194</v>
      </c>
      <c r="F18" s="141" t="s">
        <v>198</v>
      </c>
      <c r="G18" s="143">
        <f>1500000+842303</f>
        <v>2342303</v>
      </c>
    </row>
    <row r="19" spans="2:7" ht="15.75" customHeight="1" thickBot="1">
      <c r="B19" s="1171"/>
      <c r="C19" s="1185"/>
      <c r="D19" s="8" t="s">
        <v>9</v>
      </c>
      <c r="E19" s="5"/>
      <c r="F19" s="5"/>
      <c r="G19" s="92">
        <f>SUM(G11:G18)</f>
        <v>12342303</v>
      </c>
    </row>
    <row r="20" spans="2:7" ht="26.25" thickBot="1">
      <c r="B20" s="1169">
        <v>3</v>
      </c>
      <c r="C20" s="1183" t="s">
        <v>0</v>
      </c>
      <c r="D20" s="6" t="s">
        <v>205</v>
      </c>
      <c r="E20" s="5" t="s">
        <v>194</v>
      </c>
      <c r="F20" s="5" t="s">
        <v>195</v>
      </c>
      <c r="G20" s="89">
        <v>8000000</v>
      </c>
    </row>
    <row r="21" spans="2:7" ht="15.75" customHeight="1" thickBot="1">
      <c r="B21" s="1170"/>
      <c r="C21" s="1184"/>
      <c r="D21" s="6" t="s">
        <v>197</v>
      </c>
      <c r="E21" s="5" t="s">
        <v>194</v>
      </c>
      <c r="F21" s="5" t="s">
        <v>251</v>
      </c>
      <c r="G21" s="89">
        <v>4000000</v>
      </c>
    </row>
    <row r="22" spans="2:7" ht="15.75" customHeight="1" thickBot="1">
      <c r="B22" s="1170"/>
      <c r="C22" s="1184"/>
      <c r="D22" s="6" t="s">
        <v>239</v>
      </c>
      <c r="E22" s="5" t="s">
        <v>194</v>
      </c>
      <c r="F22" s="5" t="s">
        <v>251</v>
      </c>
      <c r="G22" s="89">
        <v>700000</v>
      </c>
    </row>
    <row r="23" spans="2:7" ht="15.75" customHeight="1" thickBot="1">
      <c r="B23" s="1170"/>
      <c r="C23" s="1184"/>
      <c r="D23" s="14" t="s">
        <v>207</v>
      </c>
      <c r="E23" s="97" t="s">
        <v>194</v>
      </c>
      <c r="F23" s="88" t="s">
        <v>246</v>
      </c>
      <c r="G23" s="89">
        <v>4000000</v>
      </c>
    </row>
    <row r="24" spans="2:7" ht="15.75" customHeight="1" thickBot="1">
      <c r="B24" s="1170"/>
      <c r="C24" s="1184"/>
      <c r="D24" s="147" t="s">
        <v>328</v>
      </c>
      <c r="E24" s="148" t="s">
        <v>194</v>
      </c>
      <c r="F24" s="141" t="s">
        <v>329</v>
      </c>
      <c r="G24" s="143">
        <v>4000000</v>
      </c>
    </row>
    <row r="25" spans="2:7" ht="15" customHeight="1" thickBot="1">
      <c r="B25" s="1171"/>
      <c r="C25" s="1185"/>
      <c r="D25" s="98" t="s">
        <v>9</v>
      </c>
      <c r="E25" s="88"/>
      <c r="F25" s="88"/>
      <c r="G25" s="96">
        <f>SUM(G20:G24)</f>
        <v>20700000</v>
      </c>
    </row>
    <row r="26" spans="2:7" ht="17.25" customHeight="1" thickBot="1">
      <c r="B26" s="1169">
        <v>4</v>
      </c>
      <c r="C26" s="1183" t="s">
        <v>1</v>
      </c>
      <c r="D26" s="5" t="s">
        <v>203</v>
      </c>
      <c r="E26" s="5" t="s">
        <v>194</v>
      </c>
      <c r="F26" s="5" t="s">
        <v>218</v>
      </c>
      <c r="G26" s="89">
        <v>1000000</v>
      </c>
    </row>
    <row r="27" spans="2:7" ht="15.75" customHeight="1" thickBot="1">
      <c r="B27" s="1170"/>
      <c r="C27" s="1184"/>
      <c r="D27" s="5" t="s">
        <v>199</v>
      </c>
      <c r="E27" s="5" t="s">
        <v>194</v>
      </c>
      <c r="F27" s="5" t="s">
        <v>243</v>
      </c>
      <c r="G27" s="89">
        <v>400000</v>
      </c>
    </row>
    <row r="28" spans="2:7" ht="15.75" customHeight="1" thickBot="1">
      <c r="B28" s="1170"/>
      <c r="C28" s="1184"/>
      <c r="D28" s="14" t="s">
        <v>220</v>
      </c>
      <c r="E28" s="88" t="s">
        <v>194</v>
      </c>
      <c r="F28" s="88" t="s">
        <v>248</v>
      </c>
      <c r="G28" s="94">
        <v>1000000</v>
      </c>
    </row>
    <row r="29" spans="2:7" ht="15.75" customHeight="1" thickBot="1">
      <c r="B29" s="1171"/>
      <c r="C29" s="1185"/>
      <c r="D29" s="99" t="s">
        <v>9</v>
      </c>
      <c r="E29" s="88"/>
      <c r="F29" s="88"/>
      <c r="G29" s="96">
        <f>SUM(G26:G28)</f>
        <v>2400000</v>
      </c>
    </row>
    <row r="30" spans="2:7" ht="26.25" thickBot="1">
      <c r="B30" s="1188">
        <v>5</v>
      </c>
      <c r="C30" s="1190" t="s">
        <v>190</v>
      </c>
      <c r="D30" s="141" t="s">
        <v>217</v>
      </c>
      <c r="E30" s="141" t="s">
        <v>194</v>
      </c>
      <c r="F30" s="139" t="s">
        <v>249</v>
      </c>
      <c r="G30" s="143">
        <f>1000000+1000000</f>
        <v>2000000</v>
      </c>
    </row>
    <row r="31" spans="2:7" ht="14.25" thickBot="1">
      <c r="B31" s="1189"/>
      <c r="C31" s="1191"/>
      <c r="D31" s="8" t="s">
        <v>9</v>
      </c>
      <c r="E31" s="5"/>
      <c r="F31" s="2"/>
      <c r="G31" s="95">
        <f>SUM(G30)</f>
        <v>2000000</v>
      </c>
    </row>
    <row r="32" spans="2:7" ht="15.75" customHeight="1" thickBot="1">
      <c r="B32" s="1169">
        <v>6</v>
      </c>
      <c r="C32" s="1186" t="s">
        <v>13</v>
      </c>
      <c r="D32" s="5" t="s">
        <v>200</v>
      </c>
      <c r="E32" s="5" t="s">
        <v>194</v>
      </c>
      <c r="F32" s="5" t="s">
        <v>245</v>
      </c>
      <c r="G32" s="89">
        <v>3000000</v>
      </c>
    </row>
    <row r="33" spans="2:7" ht="13.5" thickBot="1">
      <c r="B33" s="1171"/>
      <c r="C33" s="1187"/>
      <c r="D33" s="99" t="s">
        <v>9</v>
      </c>
      <c r="G33" s="96">
        <f>SUM(G32)</f>
        <v>3000000</v>
      </c>
    </row>
    <row r="34" spans="2:7" ht="13.5" thickBot="1">
      <c r="B34" s="88"/>
      <c r="C34" s="88"/>
      <c r="D34" s="99" t="s">
        <v>24</v>
      </c>
      <c r="E34" s="88"/>
      <c r="F34" s="88"/>
      <c r="G34" s="96">
        <f>SUM(G31,G33,G29,G25,G19,G10)</f>
        <v>64042303</v>
      </c>
    </row>
    <row r="35" ht="12.75">
      <c r="G35" s="146">
        <f>G34-G36</f>
        <v>-1000000</v>
      </c>
    </row>
    <row r="36" ht="12.75">
      <c r="G36" s="87">
        <v>65042303</v>
      </c>
    </row>
  </sheetData>
  <sheetProtection/>
  <mergeCells count="14">
    <mergeCell ref="B1:H1"/>
    <mergeCell ref="B2:H2"/>
    <mergeCell ref="C4:C10"/>
    <mergeCell ref="B4:B10"/>
    <mergeCell ref="C11:C19"/>
    <mergeCell ref="B11:B19"/>
    <mergeCell ref="C20:C25"/>
    <mergeCell ref="B20:B25"/>
    <mergeCell ref="C26:C29"/>
    <mergeCell ref="B26:B29"/>
    <mergeCell ref="B32:B33"/>
    <mergeCell ref="C32:C33"/>
    <mergeCell ref="B30:B31"/>
    <mergeCell ref="C30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82"/>
  <sheetViews>
    <sheetView zoomScalePageLayoutView="0" workbookViewId="0" topLeftCell="A9">
      <selection activeCell="D28" sqref="D28:G30"/>
    </sheetView>
  </sheetViews>
  <sheetFormatPr defaultColWidth="9.140625" defaultRowHeight="15"/>
  <cols>
    <col min="1" max="1" width="2.421875" style="1" customWidth="1"/>
    <col min="2" max="2" width="6.140625" style="1" customWidth="1"/>
    <col min="3" max="3" width="19.00390625" style="1" customWidth="1"/>
    <col min="4" max="4" width="59.7109375" style="21" customWidth="1"/>
    <col min="5" max="5" width="14.28125" style="21" customWidth="1"/>
    <col min="6" max="6" width="29.57421875" style="15" customWidth="1"/>
    <col min="7" max="7" width="12.00390625" style="41" customWidth="1"/>
    <col min="8" max="8" width="12.00390625" style="4" bestFit="1" customWidth="1"/>
    <col min="9" max="16384" width="9.140625" style="1" customWidth="1"/>
  </cols>
  <sheetData>
    <row r="2" spans="3:9" ht="12.75">
      <c r="C2" s="1144" t="s">
        <v>6</v>
      </c>
      <c r="D2" s="1144"/>
      <c r="E2" s="1144"/>
      <c r="F2" s="1144"/>
      <c r="G2" s="1144"/>
      <c r="H2" s="1144"/>
      <c r="I2" s="1144"/>
    </row>
    <row r="3" spans="3:9" ht="12.75">
      <c r="C3" s="1144" t="s">
        <v>193</v>
      </c>
      <c r="D3" s="1144"/>
      <c r="E3" s="1144"/>
      <c r="F3" s="1144"/>
      <c r="G3" s="1144"/>
      <c r="H3" s="1144"/>
      <c r="I3" s="1144"/>
    </row>
    <row r="4" ht="13.5" thickBot="1"/>
    <row r="5" spans="2:7" ht="26.25" thickBot="1">
      <c r="B5" s="18" t="s">
        <v>4</v>
      </c>
      <c r="C5" s="16" t="s">
        <v>8</v>
      </c>
      <c r="D5" s="2" t="s">
        <v>23</v>
      </c>
      <c r="E5" s="2" t="s">
        <v>7</v>
      </c>
      <c r="F5" s="7" t="s">
        <v>11</v>
      </c>
      <c r="G5" s="17" t="s">
        <v>5</v>
      </c>
    </row>
    <row r="6" spans="2:7" ht="13.5" thickBot="1">
      <c r="B6" s="1169">
        <v>1</v>
      </c>
      <c r="C6" s="1177" t="s">
        <v>12</v>
      </c>
      <c r="D6" s="149" t="s">
        <v>206</v>
      </c>
      <c r="E6" s="53" t="s">
        <v>159</v>
      </c>
      <c r="F6" s="54" t="s">
        <v>164</v>
      </c>
      <c r="G6" s="55">
        <v>3000000</v>
      </c>
    </row>
    <row r="7" spans="2:7" ht="13.5" thickBot="1">
      <c r="B7" s="1170"/>
      <c r="C7" s="1178"/>
      <c r="D7" s="150" t="s">
        <v>167</v>
      </c>
      <c r="E7" s="53" t="s">
        <v>159</v>
      </c>
      <c r="F7" s="56" t="s">
        <v>165</v>
      </c>
      <c r="G7" s="57">
        <v>1400000</v>
      </c>
    </row>
    <row r="8" spans="2:7" ht="13.5" thickBot="1">
      <c r="B8" s="1170"/>
      <c r="C8" s="1178"/>
      <c r="D8" s="150" t="s">
        <v>168</v>
      </c>
      <c r="E8" s="53" t="s">
        <v>159</v>
      </c>
      <c r="F8" s="58" t="s">
        <v>166</v>
      </c>
      <c r="G8" s="57">
        <v>1800000</v>
      </c>
    </row>
    <row r="9" spans="2:7" ht="13.5" thickBot="1">
      <c r="B9" s="1170"/>
      <c r="C9" s="1178"/>
      <c r="D9" s="151" t="s">
        <v>169</v>
      </c>
      <c r="E9" s="53" t="s">
        <v>159</v>
      </c>
      <c r="F9" s="56" t="s">
        <v>172</v>
      </c>
      <c r="G9" s="59">
        <v>800000</v>
      </c>
    </row>
    <row r="10" spans="2:7" ht="13.5" thickBot="1">
      <c r="B10" s="1170"/>
      <c r="C10" s="1178"/>
      <c r="D10" s="150" t="s">
        <v>170</v>
      </c>
      <c r="E10" s="53" t="s">
        <v>159</v>
      </c>
      <c r="F10" s="56" t="s">
        <v>171</v>
      </c>
      <c r="G10" s="57">
        <v>2500000</v>
      </c>
    </row>
    <row r="11" spans="2:7" ht="13.5" thickBot="1">
      <c r="B11" s="1170"/>
      <c r="C11" s="1178"/>
      <c r="D11" s="150" t="s">
        <v>174</v>
      </c>
      <c r="E11" s="53" t="s">
        <v>159</v>
      </c>
      <c r="F11" s="56" t="s">
        <v>173</v>
      </c>
      <c r="G11" s="57">
        <v>1100000</v>
      </c>
    </row>
    <row r="12" spans="2:7" ht="13.5" thickBot="1">
      <c r="B12" s="1170"/>
      <c r="C12" s="1178"/>
      <c r="D12" s="150" t="s">
        <v>181</v>
      </c>
      <c r="E12" s="53" t="s">
        <v>159</v>
      </c>
      <c r="F12" s="56" t="s">
        <v>179</v>
      </c>
      <c r="G12" s="57">
        <v>3000000</v>
      </c>
    </row>
    <row r="13" spans="2:7" ht="13.5" thickBot="1">
      <c r="B13" s="1170"/>
      <c r="C13" s="1178"/>
      <c r="D13" s="150" t="s">
        <v>180</v>
      </c>
      <c r="E13" s="53" t="s">
        <v>159</v>
      </c>
      <c r="F13" s="56" t="s">
        <v>179</v>
      </c>
      <c r="G13" s="57">
        <v>800000</v>
      </c>
    </row>
    <row r="14" spans="2:7" ht="13.5" thickBot="1">
      <c r="B14" s="1170"/>
      <c r="C14" s="1178"/>
      <c r="D14" s="152" t="s">
        <v>332</v>
      </c>
      <c r="E14" s="153" t="s">
        <v>159</v>
      </c>
      <c r="F14" s="154" t="s">
        <v>159</v>
      </c>
      <c r="G14" s="155">
        <v>1000000</v>
      </c>
    </row>
    <row r="15" spans="2:7" ht="13.5" thickBot="1">
      <c r="B15" s="1171"/>
      <c r="C15" s="1179"/>
      <c r="D15" s="60" t="s">
        <v>9</v>
      </c>
      <c r="E15" s="53"/>
      <c r="F15" s="61"/>
      <c r="G15" s="62">
        <f>SUM(G6:G14)</f>
        <v>15400000</v>
      </c>
    </row>
    <row r="16" spans="2:7" ht="26.25" thickBot="1">
      <c r="B16" s="1169">
        <v>2</v>
      </c>
      <c r="C16" s="1177" t="s">
        <v>10</v>
      </c>
      <c r="D16" s="64" t="s">
        <v>160</v>
      </c>
      <c r="E16" s="53" t="s">
        <v>159</v>
      </c>
      <c r="F16" s="65" t="s">
        <v>159</v>
      </c>
      <c r="G16" s="66">
        <v>2800000</v>
      </c>
    </row>
    <row r="17" spans="2:7" ht="15" customHeight="1" thickBot="1">
      <c r="B17" s="1170"/>
      <c r="C17" s="1178"/>
      <c r="D17" s="64" t="s">
        <v>185</v>
      </c>
      <c r="E17" s="53" t="s">
        <v>159</v>
      </c>
      <c r="F17" s="65" t="s">
        <v>162</v>
      </c>
      <c r="G17" s="66">
        <v>1000000</v>
      </c>
    </row>
    <row r="18" spans="2:7" ht="15.75" customHeight="1" thickBot="1">
      <c r="B18" s="1171"/>
      <c r="C18" s="1179"/>
      <c r="D18" s="63" t="s">
        <v>9</v>
      </c>
      <c r="E18" s="53"/>
      <c r="F18" s="32"/>
      <c r="G18" s="67">
        <f>SUM(G16:G17)</f>
        <v>3800000</v>
      </c>
    </row>
    <row r="19" spans="2:7" ht="13.5" thickBot="1">
      <c r="B19" s="1169">
        <v>3</v>
      </c>
      <c r="C19" s="1195" t="s">
        <v>3</v>
      </c>
      <c r="D19" s="20" t="s">
        <v>178</v>
      </c>
      <c r="E19" s="53" t="s">
        <v>159</v>
      </c>
      <c r="F19" s="7" t="s">
        <v>159</v>
      </c>
      <c r="G19" s="68">
        <v>1500000</v>
      </c>
    </row>
    <row r="20" spans="2:7" ht="13.5" thickBot="1">
      <c r="B20" s="1170"/>
      <c r="C20" s="1196"/>
      <c r="D20" s="20" t="s">
        <v>182</v>
      </c>
      <c r="E20" s="53" t="s">
        <v>159</v>
      </c>
      <c r="F20" s="12" t="s">
        <v>163</v>
      </c>
      <c r="G20" s="68">
        <v>650000</v>
      </c>
    </row>
    <row r="21" spans="2:7" ht="13.5" thickBot="1">
      <c r="B21" s="1170"/>
      <c r="C21" s="1196"/>
      <c r="D21" s="20" t="s">
        <v>9</v>
      </c>
      <c r="E21" s="53" t="s">
        <v>159</v>
      </c>
      <c r="F21" s="12"/>
      <c r="G21" s="70">
        <f>SUM(G19:G20)</f>
        <v>2150000</v>
      </c>
    </row>
    <row r="22" spans="2:7" ht="26.25" thickBot="1">
      <c r="B22" s="1169">
        <v>4</v>
      </c>
      <c r="C22" s="1177" t="s">
        <v>0</v>
      </c>
      <c r="D22" s="20" t="s">
        <v>161</v>
      </c>
      <c r="E22" s="53" t="s">
        <v>159</v>
      </c>
      <c r="F22" s="12" t="s">
        <v>159</v>
      </c>
      <c r="G22" s="68">
        <v>1000000</v>
      </c>
    </row>
    <row r="23" spans="2:7" ht="13.5" thickBot="1">
      <c r="B23" s="1170"/>
      <c r="C23" s="1178"/>
      <c r="D23" s="69" t="s">
        <v>186</v>
      </c>
      <c r="E23" s="53" t="s">
        <v>159</v>
      </c>
      <c r="F23" s="12" t="s">
        <v>179</v>
      </c>
      <c r="G23" s="161">
        <v>4000000</v>
      </c>
    </row>
    <row r="24" spans="2:7" ht="13.5" thickBot="1">
      <c r="B24" s="1170"/>
      <c r="C24" s="1178"/>
      <c r="D24" s="69" t="s">
        <v>187</v>
      </c>
      <c r="E24" s="53" t="s">
        <v>159</v>
      </c>
      <c r="F24" s="12" t="s">
        <v>179</v>
      </c>
      <c r="G24" s="68">
        <v>350000</v>
      </c>
    </row>
    <row r="25" spans="2:7" ht="13.5" thickBot="1">
      <c r="B25" s="1170"/>
      <c r="C25" s="1178"/>
      <c r="D25" s="69" t="s">
        <v>188</v>
      </c>
      <c r="E25" s="53" t="s">
        <v>159</v>
      </c>
      <c r="F25" s="12" t="s">
        <v>179</v>
      </c>
      <c r="G25" s="68">
        <v>50000</v>
      </c>
    </row>
    <row r="26" spans="2:7" ht="13.5" thickBot="1">
      <c r="B26" s="1170"/>
      <c r="C26" s="1178"/>
      <c r="D26" s="69" t="s">
        <v>189</v>
      </c>
      <c r="E26" s="53" t="s">
        <v>159</v>
      </c>
      <c r="F26" s="12" t="s">
        <v>179</v>
      </c>
      <c r="G26" s="68">
        <v>1000000</v>
      </c>
    </row>
    <row r="27" spans="2:7" ht="13.5" thickBot="1">
      <c r="B27" s="1171"/>
      <c r="C27" s="1179"/>
      <c r="D27" s="71" t="s">
        <v>9</v>
      </c>
      <c r="E27" s="53"/>
      <c r="F27" s="12"/>
      <c r="G27" s="70">
        <f>SUM(G22:G26)</f>
        <v>6400000</v>
      </c>
    </row>
    <row r="28" spans="2:7" ht="13.5" thickBot="1">
      <c r="B28" s="1169">
        <v>5</v>
      </c>
      <c r="C28" s="1175" t="s">
        <v>25</v>
      </c>
      <c r="D28" s="73" t="s">
        <v>191</v>
      </c>
      <c r="E28" s="53" t="s">
        <v>159</v>
      </c>
      <c r="F28" s="65" t="s">
        <v>192</v>
      </c>
      <c r="G28" s="66">
        <v>4000000</v>
      </c>
    </row>
    <row r="29" spans="2:7" ht="13.5" thickBot="1">
      <c r="B29" s="1170"/>
      <c r="C29" s="1182"/>
      <c r="D29" s="156" t="s">
        <v>333</v>
      </c>
      <c r="E29" s="153" t="s">
        <v>159</v>
      </c>
      <c r="F29" s="157" t="s">
        <v>159</v>
      </c>
      <c r="G29" s="158">
        <f>2000000+602162</f>
        <v>2602162</v>
      </c>
    </row>
    <row r="30" spans="2:7" ht="13.5" thickBot="1">
      <c r="B30" s="1171"/>
      <c r="C30" s="1176"/>
      <c r="D30" s="72" t="s">
        <v>9</v>
      </c>
      <c r="E30" s="53"/>
      <c r="F30" s="32"/>
      <c r="G30" s="67">
        <f>SUM(G28:G29)</f>
        <v>6602162</v>
      </c>
    </row>
    <row r="31" spans="2:7" ht="13.5" thickBot="1">
      <c r="B31" s="1201">
        <v>6</v>
      </c>
      <c r="C31" s="1200" t="s">
        <v>1</v>
      </c>
      <c r="D31" s="69" t="s">
        <v>175</v>
      </c>
      <c r="E31" s="53" t="s">
        <v>159</v>
      </c>
      <c r="F31" s="12" t="s">
        <v>192</v>
      </c>
      <c r="G31" s="74">
        <v>1500000</v>
      </c>
    </row>
    <row r="32" spans="2:7" ht="26.25" thickBot="1">
      <c r="B32" s="1201"/>
      <c r="C32" s="1200"/>
      <c r="D32" s="20" t="s">
        <v>176</v>
      </c>
      <c r="E32" s="53" t="s">
        <v>159</v>
      </c>
      <c r="F32" s="12" t="s">
        <v>159</v>
      </c>
      <c r="G32" s="74">
        <v>3500000</v>
      </c>
    </row>
    <row r="33" spans="2:7" ht="13.5" thickBot="1">
      <c r="B33" s="1201"/>
      <c r="C33" s="1200"/>
      <c r="D33" s="75" t="s">
        <v>177</v>
      </c>
      <c r="E33" s="53" t="s">
        <v>159</v>
      </c>
      <c r="F33" s="12" t="s">
        <v>159</v>
      </c>
      <c r="G33" s="74">
        <v>2000000</v>
      </c>
    </row>
    <row r="34" spans="2:7" ht="13.5" thickBot="1">
      <c r="B34" s="1201"/>
      <c r="C34" s="1200"/>
      <c r="D34" s="69" t="s">
        <v>184</v>
      </c>
      <c r="E34" s="53" t="s">
        <v>159</v>
      </c>
      <c r="F34" s="12" t="s">
        <v>162</v>
      </c>
      <c r="G34" s="74">
        <v>1500000</v>
      </c>
    </row>
    <row r="35" spans="2:7" ht="13.5" thickBot="1">
      <c r="B35" s="1201"/>
      <c r="C35" s="1200"/>
      <c r="D35" s="76" t="s">
        <v>9</v>
      </c>
      <c r="E35" s="13"/>
      <c r="F35" s="78"/>
      <c r="G35" s="77">
        <f>SUM(G31:G34)</f>
        <v>8500000</v>
      </c>
    </row>
    <row r="36" spans="2:7" ht="13.5" thickBot="1">
      <c r="B36" s="1197">
        <v>7</v>
      </c>
      <c r="C36" s="1198" t="s">
        <v>190</v>
      </c>
      <c r="D36" s="64" t="s">
        <v>183</v>
      </c>
      <c r="E36" s="138" t="s">
        <v>159</v>
      </c>
      <c r="F36" s="65" t="s">
        <v>162</v>
      </c>
      <c r="G36" s="66">
        <v>800000</v>
      </c>
    </row>
    <row r="37" spans="2:7" ht="13.5" thickBot="1">
      <c r="B37" s="1197"/>
      <c r="C37" s="1199"/>
      <c r="D37" s="52" t="s">
        <v>9</v>
      </c>
      <c r="E37" s="36"/>
      <c r="F37" s="31"/>
      <c r="G37" s="44">
        <f>SUM(G36)</f>
        <v>800000</v>
      </c>
    </row>
    <row r="38" spans="2:7" ht="14.25" thickBot="1">
      <c r="B38" s="40"/>
      <c r="C38" s="49"/>
      <c r="D38" s="50" t="s">
        <v>2</v>
      </c>
      <c r="E38" s="50"/>
      <c r="F38" s="51"/>
      <c r="G38" s="85">
        <f>SUM(G15,G18,G21,G27,G30,G35,G37)</f>
        <v>43652162</v>
      </c>
    </row>
    <row r="39" spans="3:7" ht="38.25" hidden="1">
      <c r="C39" s="25"/>
      <c r="D39" s="33"/>
      <c r="E39" s="33"/>
      <c r="F39" s="31" t="s">
        <v>61</v>
      </c>
      <c r="G39" s="28"/>
    </row>
    <row r="40" spans="3:7" ht="12.75" hidden="1">
      <c r="C40" s="25"/>
      <c r="D40" s="34" t="s">
        <v>62</v>
      </c>
      <c r="E40" s="34"/>
      <c r="F40" s="30"/>
      <c r="G40" s="28"/>
    </row>
    <row r="41" spans="3:7" ht="25.5" hidden="1">
      <c r="C41" s="23" t="s">
        <v>31</v>
      </c>
      <c r="D41" s="35" t="s">
        <v>63</v>
      </c>
      <c r="E41" s="35"/>
      <c r="F41" s="31" t="s">
        <v>64</v>
      </c>
      <c r="G41" s="28"/>
    </row>
    <row r="42" spans="3:7" ht="25.5" hidden="1">
      <c r="C42" s="24" t="s">
        <v>26</v>
      </c>
      <c r="D42" s="33"/>
      <c r="E42" s="33"/>
      <c r="F42" s="30"/>
      <c r="G42" s="42" t="s">
        <v>65</v>
      </c>
    </row>
    <row r="43" spans="3:7" ht="12.75" hidden="1">
      <c r="C43" s="24"/>
      <c r="D43" s="33"/>
      <c r="E43" s="33"/>
      <c r="F43" s="31" t="s">
        <v>66</v>
      </c>
      <c r="G43" s="28"/>
    </row>
    <row r="44" spans="3:7" ht="12.75" hidden="1">
      <c r="C44" s="24"/>
      <c r="D44" s="33"/>
      <c r="E44" s="33"/>
      <c r="F44" s="30"/>
      <c r="G44" s="28"/>
    </row>
    <row r="45" spans="3:7" ht="25.5" hidden="1">
      <c r="C45" s="24"/>
      <c r="D45" s="34" t="s">
        <v>67</v>
      </c>
      <c r="E45" s="34"/>
      <c r="F45" s="30"/>
      <c r="G45" s="28"/>
    </row>
    <row r="46" spans="3:7" ht="12.75" hidden="1">
      <c r="C46" s="24"/>
      <c r="D46" s="36"/>
      <c r="E46" s="36"/>
      <c r="F46" s="31" t="s">
        <v>68</v>
      </c>
      <c r="G46" s="28"/>
    </row>
    <row r="47" spans="3:7" ht="25.5" hidden="1">
      <c r="C47" s="24" t="s">
        <v>27</v>
      </c>
      <c r="D47" s="34" t="s">
        <v>69</v>
      </c>
      <c r="E47" s="34"/>
      <c r="F47" s="30"/>
      <c r="G47" s="42" t="s">
        <v>70</v>
      </c>
    </row>
    <row r="48" spans="3:7" ht="12.75" hidden="1">
      <c r="C48" s="24"/>
      <c r="D48" s="36"/>
      <c r="E48" s="36"/>
      <c r="F48" s="30"/>
      <c r="G48" s="44"/>
    </row>
    <row r="49" spans="3:7" ht="12.75" hidden="1">
      <c r="C49" s="24"/>
      <c r="D49" s="33"/>
      <c r="E49" s="33"/>
      <c r="F49" s="30"/>
      <c r="G49" s="28"/>
    </row>
    <row r="50" spans="3:7" ht="12.75" hidden="1">
      <c r="C50" s="24"/>
      <c r="D50" s="36"/>
      <c r="E50" s="36"/>
      <c r="F50" s="47" t="s">
        <v>71</v>
      </c>
      <c r="G50" s="28"/>
    </row>
    <row r="51" spans="3:7" ht="12.75" hidden="1">
      <c r="C51" s="24" t="s">
        <v>30</v>
      </c>
      <c r="D51" s="35" t="s">
        <v>72</v>
      </c>
      <c r="E51" s="35"/>
      <c r="F51" s="30"/>
      <c r="G51" s="28"/>
    </row>
    <row r="52" spans="3:7" ht="25.5" hidden="1">
      <c r="C52" s="24"/>
      <c r="D52" s="33"/>
      <c r="E52" s="33"/>
      <c r="F52" s="31" t="s">
        <v>73</v>
      </c>
      <c r="G52" s="42" t="s">
        <v>53</v>
      </c>
    </row>
    <row r="53" spans="3:7" ht="12.75" hidden="1">
      <c r="C53" s="24"/>
      <c r="D53" s="34" t="s">
        <v>74</v>
      </c>
      <c r="E53" s="34"/>
      <c r="F53" s="31" t="s">
        <v>75</v>
      </c>
      <c r="G53" s="28"/>
    </row>
    <row r="54" spans="3:7" ht="12.75" hidden="1">
      <c r="C54" s="24"/>
      <c r="D54" s="36"/>
      <c r="E54" s="36"/>
      <c r="F54" s="30"/>
      <c r="G54" s="28"/>
    </row>
    <row r="55" spans="3:7" ht="12.75" hidden="1">
      <c r="C55" s="24"/>
      <c r="D55" s="34" t="s">
        <v>76</v>
      </c>
      <c r="E55" s="34"/>
      <c r="F55" s="30"/>
      <c r="G55" s="28"/>
    </row>
    <row r="56" spans="3:7" ht="12.75" hidden="1">
      <c r="C56" s="24" t="s">
        <v>32</v>
      </c>
      <c r="D56" s="36"/>
      <c r="E56" s="36"/>
      <c r="F56" s="30"/>
      <c r="G56" s="43" t="s">
        <v>77</v>
      </c>
    </row>
    <row r="57" spans="3:7" ht="12.75" hidden="1">
      <c r="C57" s="24"/>
      <c r="D57" s="33"/>
      <c r="E57" s="33"/>
      <c r="F57" s="30"/>
      <c r="G57" s="44"/>
    </row>
    <row r="58" spans="3:7" ht="25.5" hidden="1">
      <c r="C58" s="24" t="s">
        <v>28</v>
      </c>
      <c r="D58" s="33"/>
      <c r="E58" s="33"/>
      <c r="F58" s="31" t="s">
        <v>78</v>
      </c>
      <c r="G58" s="42" t="s">
        <v>56</v>
      </c>
    </row>
    <row r="59" spans="3:7" ht="25.5" hidden="1">
      <c r="C59" s="24"/>
      <c r="D59" s="34" t="s">
        <v>79</v>
      </c>
      <c r="E59" s="34"/>
      <c r="F59" s="30"/>
      <c r="G59" s="44"/>
    </row>
    <row r="60" spans="3:7" ht="25.5" hidden="1">
      <c r="C60" s="24" t="s">
        <v>33</v>
      </c>
      <c r="D60" s="33"/>
      <c r="E60" s="33"/>
      <c r="F60" s="30"/>
      <c r="G60" s="42" t="s">
        <v>80</v>
      </c>
    </row>
    <row r="61" spans="3:7" ht="27" hidden="1">
      <c r="C61" s="24"/>
      <c r="D61" s="34" t="s">
        <v>81</v>
      </c>
      <c r="E61" s="34"/>
      <c r="F61" s="30"/>
      <c r="G61" s="45" t="s">
        <v>44</v>
      </c>
    </row>
    <row r="62" spans="3:7" ht="12.75" hidden="1">
      <c r="C62" s="25"/>
      <c r="D62" s="34" t="s">
        <v>82</v>
      </c>
      <c r="E62" s="34"/>
      <c r="F62" s="31" t="s">
        <v>60</v>
      </c>
      <c r="G62" s="28"/>
    </row>
    <row r="63" spans="3:7" ht="12.75" hidden="1">
      <c r="C63" s="23" t="s">
        <v>34</v>
      </c>
      <c r="D63" s="36"/>
      <c r="E63" s="36"/>
      <c r="F63" s="30"/>
      <c r="G63" s="28"/>
    </row>
    <row r="64" spans="3:7" ht="12.75" hidden="1">
      <c r="C64" s="24" t="s">
        <v>26</v>
      </c>
      <c r="D64" s="34" t="s">
        <v>83</v>
      </c>
      <c r="E64" s="34"/>
      <c r="F64" s="30"/>
      <c r="G64" s="28"/>
    </row>
    <row r="65" spans="3:7" ht="25.5" hidden="1">
      <c r="C65" s="24"/>
      <c r="D65" s="34" t="s">
        <v>84</v>
      </c>
      <c r="E65" s="34"/>
      <c r="F65" s="31" t="s">
        <v>60</v>
      </c>
      <c r="G65" s="42" t="s">
        <v>85</v>
      </c>
    </row>
    <row r="66" spans="3:7" ht="12.75" hidden="1">
      <c r="C66" s="24"/>
      <c r="D66" s="33"/>
      <c r="E66" s="33"/>
      <c r="F66" s="31" t="s">
        <v>60</v>
      </c>
      <c r="G66" s="28"/>
    </row>
    <row r="67" spans="3:7" ht="12.75" hidden="1">
      <c r="C67" s="24"/>
      <c r="D67" s="34" t="s">
        <v>86</v>
      </c>
      <c r="E67" s="34"/>
      <c r="F67" s="30"/>
      <c r="G67" s="28"/>
    </row>
    <row r="68" spans="3:7" ht="12.75" hidden="1">
      <c r="C68" s="24"/>
      <c r="D68" s="33"/>
      <c r="E68" s="33"/>
      <c r="F68" s="31" t="s">
        <v>60</v>
      </c>
      <c r="G68" s="28"/>
    </row>
    <row r="69" spans="3:7" ht="25.5" hidden="1">
      <c r="C69" s="24" t="s">
        <v>27</v>
      </c>
      <c r="D69" s="35" t="s">
        <v>87</v>
      </c>
      <c r="E69" s="35"/>
      <c r="F69" s="30"/>
      <c r="G69" s="42" t="s">
        <v>59</v>
      </c>
    </row>
    <row r="70" spans="3:7" ht="12.75" hidden="1">
      <c r="C70" s="24"/>
      <c r="D70" s="36"/>
      <c r="E70" s="36"/>
      <c r="F70" s="30"/>
      <c r="G70" s="42" t="s">
        <v>88</v>
      </c>
    </row>
    <row r="71" spans="3:7" ht="12.75" hidden="1">
      <c r="C71" s="24"/>
      <c r="D71" s="33"/>
      <c r="E71" s="33"/>
      <c r="F71" s="47" t="s">
        <v>89</v>
      </c>
      <c r="G71" s="28"/>
    </row>
    <row r="72" spans="3:7" ht="25.5" hidden="1">
      <c r="C72" s="24" t="s">
        <v>30</v>
      </c>
      <c r="D72" s="33"/>
      <c r="E72" s="33"/>
      <c r="F72" s="48"/>
      <c r="G72" s="42" t="s">
        <v>55</v>
      </c>
    </row>
    <row r="73" spans="3:7" ht="25.5" hidden="1">
      <c r="C73" s="24"/>
      <c r="D73" s="33"/>
      <c r="E73" s="33"/>
      <c r="F73" s="30"/>
      <c r="G73" s="42" t="s">
        <v>90</v>
      </c>
    </row>
    <row r="74" spans="3:7" ht="12.75" hidden="1">
      <c r="C74" s="24"/>
      <c r="D74" s="34" t="s">
        <v>91</v>
      </c>
      <c r="E74" s="34"/>
      <c r="F74" s="30"/>
      <c r="G74" s="19"/>
    </row>
    <row r="75" spans="3:7" ht="25.5" hidden="1">
      <c r="C75" s="24"/>
      <c r="D75" s="37"/>
      <c r="E75" s="37"/>
      <c r="F75" s="31" t="s">
        <v>92</v>
      </c>
      <c r="G75" s="42" t="s">
        <v>55</v>
      </c>
    </row>
    <row r="76" spans="3:7" ht="25.5" hidden="1">
      <c r="C76" s="24" t="s">
        <v>35</v>
      </c>
      <c r="D76" s="34" t="s">
        <v>93</v>
      </c>
      <c r="E76" s="34"/>
      <c r="F76" s="31"/>
      <c r="G76" s="42"/>
    </row>
    <row r="77" spans="3:7" ht="12.75" hidden="1">
      <c r="C77" s="24"/>
      <c r="D77" s="33"/>
      <c r="E77" s="33"/>
      <c r="F77" s="31" t="s">
        <v>94</v>
      </c>
      <c r="G77" s="42"/>
    </row>
    <row r="78" spans="3:7" ht="12.75" hidden="1">
      <c r="C78" s="24" t="s">
        <v>32</v>
      </c>
      <c r="D78" s="34" t="s">
        <v>83</v>
      </c>
      <c r="E78" s="34"/>
      <c r="F78" s="30"/>
      <c r="G78" s="43" t="s">
        <v>77</v>
      </c>
    </row>
    <row r="79" spans="3:7" ht="27" hidden="1">
      <c r="C79" s="24"/>
      <c r="D79" s="36"/>
      <c r="E79" s="36"/>
      <c r="F79" s="31" t="s">
        <v>95</v>
      </c>
      <c r="G79" s="29" t="s">
        <v>45</v>
      </c>
    </row>
    <row r="80" spans="3:7" ht="12.75" hidden="1">
      <c r="C80" s="23" t="s">
        <v>36</v>
      </c>
      <c r="D80" s="33"/>
      <c r="E80" s="33"/>
      <c r="F80" s="30"/>
      <c r="G80" s="19"/>
    </row>
    <row r="81" spans="3:7" ht="12.75" hidden="1">
      <c r="C81" s="24"/>
      <c r="D81" s="36"/>
      <c r="E81" s="36"/>
      <c r="F81" s="30"/>
      <c r="G81" s="19"/>
    </row>
    <row r="82" spans="3:7" ht="25.5" hidden="1">
      <c r="C82" s="24" t="s">
        <v>26</v>
      </c>
      <c r="D82" s="36"/>
      <c r="E82" s="36"/>
      <c r="F82" s="30"/>
      <c r="G82" s="42" t="s">
        <v>55</v>
      </c>
    </row>
    <row r="83" spans="3:7" ht="12.75" hidden="1">
      <c r="C83" s="24"/>
      <c r="D83" s="34" t="s">
        <v>96</v>
      </c>
      <c r="E83" s="34"/>
      <c r="F83" s="30"/>
      <c r="G83" s="19"/>
    </row>
    <row r="84" spans="3:7" ht="25.5" hidden="1">
      <c r="C84" s="24"/>
      <c r="D84" s="34" t="s">
        <v>97</v>
      </c>
      <c r="E84" s="34"/>
      <c r="F84" s="31" t="s">
        <v>98</v>
      </c>
      <c r="G84" s="42" t="s">
        <v>65</v>
      </c>
    </row>
    <row r="85" spans="3:7" ht="12.75" hidden="1">
      <c r="C85" s="24"/>
      <c r="D85" s="36"/>
      <c r="E85" s="36"/>
      <c r="F85" s="30"/>
      <c r="G85" s="42"/>
    </row>
    <row r="86" spans="3:7" ht="12.75" hidden="1">
      <c r="C86" s="24"/>
      <c r="D86" s="33"/>
      <c r="E86" s="33"/>
      <c r="F86" s="31" t="s">
        <v>99</v>
      </c>
      <c r="G86" s="19"/>
    </row>
    <row r="87" spans="3:7" ht="25.5" hidden="1">
      <c r="C87" s="24" t="s">
        <v>30</v>
      </c>
      <c r="D87" s="33"/>
      <c r="E87" s="33"/>
      <c r="F87" s="30"/>
      <c r="G87" s="42" t="s">
        <v>55</v>
      </c>
    </row>
    <row r="88" spans="3:7" ht="12.75" hidden="1">
      <c r="C88" s="24"/>
      <c r="D88" s="34" t="s">
        <v>100</v>
      </c>
      <c r="E88" s="34"/>
      <c r="F88" s="30"/>
      <c r="G88" s="42"/>
    </row>
    <row r="89" spans="3:7" ht="12.75" hidden="1">
      <c r="C89" s="24"/>
      <c r="D89" s="33"/>
      <c r="E89" s="33"/>
      <c r="F89" s="30"/>
      <c r="G89" s="42"/>
    </row>
    <row r="90" spans="3:7" ht="12.75" hidden="1">
      <c r="C90" s="24"/>
      <c r="D90" s="34" t="s">
        <v>101</v>
      </c>
      <c r="E90" s="34"/>
      <c r="F90" s="30"/>
      <c r="G90" s="19"/>
    </row>
    <row r="91" spans="3:7" ht="25.5" hidden="1">
      <c r="C91" s="24" t="s">
        <v>28</v>
      </c>
      <c r="D91" s="33"/>
      <c r="E91" s="33"/>
      <c r="F91" s="31" t="s">
        <v>102</v>
      </c>
      <c r="G91" s="19"/>
    </row>
    <row r="92" spans="3:7" ht="12.75" hidden="1">
      <c r="C92" s="24"/>
      <c r="D92" s="34" t="s">
        <v>83</v>
      </c>
      <c r="E92" s="34"/>
      <c r="F92" s="30"/>
      <c r="G92" s="19"/>
    </row>
    <row r="93" spans="3:7" ht="12.75" hidden="1">
      <c r="C93" s="24" t="s">
        <v>32</v>
      </c>
      <c r="D93" s="34" t="s">
        <v>158</v>
      </c>
      <c r="E93" s="34"/>
      <c r="F93" s="31" t="s">
        <v>103</v>
      </c>
      <c r="G93" s="42" t="s">
        <v>104</v>
      </c>
    </row>
    <row r="94" spans="3:7" ht="12.75" hidden="1">
      <c r="C94" s="24"/>
      <c r="D94" s="34" t="s">
        <v>105</v>
      </c>
      <c r="E94" s="34"/>
      <c r="F94" s="30"/>
      <c r="G94" s="42"/>
    </row>
    <row r="95" spans="3:7" ht="25.5" hidden="1">
      <c r="C95" s="24"/>
      <c r="D95" s="33"/>
      <c r="E95" s="33"/>
      <c r="F95" s="31" t="s">
        <v>106</v>
      </c>
      <c r="G95" s="42" t="s">
        <v>53</v>
      </c>
    </row>
    <row r="96" spans="3:7" ht="25.5" hidden="1">
      <c r="C96" s="23" t="s">
        <v>37</v>
      </c>
      <c r="D96" s="34" t="s">
        <v>107</v>
      </c>
      <c r="E96" s="34"/>
      <c r="F96" s="30"/>
      <c r="G96" s="42"/>
    </row>
    <row r="97" spans="3:7" ht="27" hidden="1">
      <c r="C97" s="24"/>
      <c r="D97" s="33"/>
      <c r="E97" s="33"/>
      <c r="F97" s="31" t="s">
        <v>108</v>
      </c>
      <c r="G97" s="45" t="s">
        <v>46</v>
      </c>
    </row>
    <row r="98" spans="3:7" ht="12.75" hidden="1">
      <c r="C98" s="24" t="s">
        <v>26</v>
      </c>
      <c r="D98" s="34" t="s">
        <v>109</v>
      </c>
      <c r="E98" s="34"/>
      <c r="F98" s="30"/>
      <c r="G98" s="19"/>
    </row>
    <row r="99" spans="3:7" ht="12.75" hidden="1">
      <c r="C99" s="24"/>
      <c r="D99" s="36"/>
      <c r="E99" s="36"/>
      <c r="F99" s="31" t="s">
        <v>110</v>
      </c>
      <c r="G99" s="19"/>
    </row>
    <row r="100" spans="3:7" ht="25.5" hidden="1">
      <c r="C100" s="24"/>
      <c r="D100" s="33"/>
      <c r="E100" s="33"/>
      <c r="F100" s="30"/>
      <c r="G100" s="42" t="s">
        <v>111</v>
      </c>
    </row>
    <row r="101" spans="3:7" ht="12.75" hidden="1">
      <c r="C101" s="24" t="s">
        <v>27</v>
      </c>
      <c r="D101" s="33"/>
      <c r="E101" s="33"/>
      <c r="F101" s="31" t="s">
        <v>112</v>
      </c>
      <c r="G101" s="42" t="s">
        <v>47</v>
      </c>
    </row>
    <row r="102" spans="3:7" ht="12.75" hidden="1">
      <c r="C102" s="24"/>
      <c r="D102" s="34" t="s">
        <v>113</v>
      </c>
      <c r="E102" s="34"/>
      <c r="F102" s="30"/>
      <c r="G102" s="19"/>
    </row>
    <row r="103" spans="3:7" ht="25.5" hidden="1">
      <c r="C103" s="24"/>
      <c r="D103" s="34" t="s">
        <v>114</v>
      </c>
      <c r="E103" s="34"/>
      <c r="F103" s="30"/>
      <c r="G103" s="42" t="s">
        <v>115</v>
      </c>
    </row>
    <row r="104" spans="3:7" ht="12.75" hidden="1">
      <c r="C104" s="24" t="s">
        <v>30</v>
      </c>
      <c r="D104" s="34" t="s">
        <v>116</v>
      </c>
      <c r="E104" s="34"/>
      <c r="F104" s="31" t="s">
        <v>117</v>
      </c>
      <c r="G104" s="19"/>
    </row>
    <row r="105" spans="3:7" ht="25.5" hidden="1">
      <c r="C105" s="24"/>
      <c r="D105" s="33"/>
      <c r="E105" s="33"/>
      <c r="F105" s="31" t="s">
        <v>118</v>
      </c>
      <c r="G105" s="42" t="s">
        <v>55</v>
      </c>
    </row>
    <row r="106" spans="3:7" ht="12.75" hidden="1">
      <c r="C106" s="24"/>
      <c r="D106" s="34" t="s">
        <v>119</v>
      </c>
      <c r="E106" s="34"/>
      <c r="F106" s="30"/>
      <c r="G106" s="19"/>
    </row>
    <row r="107" spans="3:7" ht="25.5" hidden="1">
      <c r="C107" s="24" t="s">
        <v>28</v>
      </c>
      <c r="D107" s="36"/>
      <c r="E107" s="36"/>
      <c r="F107" s="31" t="s">
        <v>120</v>
      </c>
      <c r="G107" s="42" t="s">
        <v>56</v>
      </c>
    </row>
    <row r="108" spans="3:7" ht="12.75" hidden="1">
      <c r="C108" s="24"/>
      <c r="D108" s="33"/>
      <c r="E108" s="33"/>
      <c r="F108" s="31" t="s">
        <v>121</v>
      </c>
      <c r="G108" s="19"/>
    </row>
    <row r="109" spans="3:7" ht="12.75" hidden="1">
      <c r="C109" s="24" t="s">
        <v>38</v>
      </c>
      <c r="D109" s="33"/>
      <c r="E109" s="33"/>
      <c r="F109" s="30"/>
      <c r="G109" s="19"/>
    </row>
    <row r="110" spans="3:7" ht="25.5" hidden="1">
      <c r="C110" s="24"/>
      <c r="D110" s="34" t="s">
        <v>122</v>
      </c>
      <c r="E110" s="34"/>
      <c r="F110" s="30"/>
      <c r="G110" s="42" t="s">
        <v>56</v>
      </c>
    </row>
    <row r="111" spans="3:7" ht="12.75" hidden="1">
      <c r="C111" s="24"/>
      <c r="D111" s="34" t="s">
        <v>123</v>
      </c>
      <c r="E111" s="34"/>
      <c r="F111" s="30"/>
      <c r="G111" s="42"/>
    </row>
    <row r="112" spans="3:7" ht="25.5" hidden="1">
      <c r="C112" s="24"/>
      <c r="D112" s="34" t="s">
        <v>124</v>
      </c>
      <c r="E112" s="34"/>
      <c r="F112" s="30"/>
      <c r="G112" s="42" t="s">
        <v>56</v>
      </c>
    </row>
    <row r="113" spans="3:7" ht="27" hidden="1">
      <c r="C113" s="23" t="s">
        <v>39</v>
      </c>
      <c r="D113" s="33"/>
      <c r="E113" s="33"/>
      <c r="F113" s="31" t="s">
        <v>125</v>
      </c>
      <c r="G113" s="45" t="s">
        <v>48</v>
      </c>
    </row>
    <row r="114" spans="3:7" ht="12.75" hidden="1">
      <c r="C114" s="24"/>
      <c r="D114" s="33"/>
      <c r="E114" s="33"/>
      <c r="F114" s="31" t="s">
        <v>126</v>
      </c>
      <c r="G114" s="19"/>
    </row>
    <row r="115" spans="3:7" ht="12.75" hidden="1">
      <c r="C115" s="24" t="s">
        <v>26</v>
      </c>
      <c r="D115" s="34" t="s">
        <v>127</v>
      </c>
      <c r="E115" s="34"/>
      <c r="F115" s="31" t="s">
        <v>128</v>
      </c>
      <c r="G115" s="19"/>
    </row>
    <row r="116" spans="3:7" ht="25.5" hidden="1">
      <c r="C116" s="24"/>
      <c r="D116" s="34" t="s">
        <v>129</v>
      </c>
      <c r="E116" s="34"/>
      <c r="F116" s="30"/>
      <c r="G116" s="42" t="s">
        <v>53</v>
      </c>
    </row>
    <row r="117" spans="3:7" ht="25.5" hidden="1">
      <c r="C117" s="24"/>
      <c r="D117" s="33"/>
      <c r="E117" s="33"/>
      <c r="F117" s="30"/>
      <c r="G117" s="42" t="s">
        <v>130</v>
      </c>
    </row>
    <row r="118" spans="3:7" ht="12.75" hidden="1">
      <c r="C118" s="24" t="s">
        <v>27</v>
      </c>
      <c r="D118" s="33"/>
      <c r="E118" s="33"/>
      <c r="F118" s="31" t="s">
        <v>131</v>
      </c>
      <c r="G118" s="19"/>
    </row>
    <row r="119" spans="3:7" ht="12.75" hidden="1">
      <c r="C119" s="24"/>
      <c r="D119" s="34" t="s">
        <v>132</v>
      </c>
      <c r="E119" s="34"/>
      <c r="F119" s="31" t="s">
        <v>133</v>
      </c>
      <c r="G119" s="19"/>
    </row>
    <row r="120" spans="3:7" ht="25.5" hidden="1">
      <c r="C120" s="24"/>
      <c r="D120" s="36"/>
      <c r="E120" s="36"/>
      <c r="F120" s="30"/>
      <c r="G120" s="42" t="s">
        <v>56</v>
      </c>
    </row>
    <row r="121" spans="3:7" ht="25.5" hidden="1">
      <c r="C121" s="23" t="s">
        <v>40</v>
      </c>
      <c r="D121" s="34" t="s">
        <v>60</v>
      </c>
      <c r="E121" s="34"/>
      <c r="F121" s="31" t="s">
        <v>134</v>
      </c>
      <c r="G121" s="19"/>
    </row>
    <row r="122" spans="3:7" ht="25.5" hidden="1">
      <c r="C122" s="24"/>
      <c r="D122" s="36"/>
      <c r="E122" s="36"/>
      <c r="F122" s="30"/>
      <c r="G122" s="42" t="s">
        <v>53</v>
      </c>
    </row>
    <row r="123" spans="3:7" ht="12.75" hidden="1">
      <c r="C123" s="24" t="s">
        <v>27</v>
      </c>
      <c r="D123" s="33"/>
      <c r="E123" s="33"/>
      <c r="F123" s="31" t="s">
        <v>135</v>
      </c>
      <c r="G123" s="42"/>
    </row>
    <row r="124" spans="3:7" ht="27" hidden="1">
      <c r="C124" s="24"/>
      <c r="D124" s="34" t="s">
        <v>136</v>
      </c>
      <c r="E124" s="34"/>
      <c r="F124" s="30"/>
      <c r="G124" s="29" t="s">
        <v>49</v>
      </c>
    </row>
    <row r="125" spans="3:7" ht="12.75" hidden="1">
      <c r="C125" s="24"/>
      <c r="D125" s="33"/>
      <c r="E125" s="33"/>
      <c r="F125" s="30"/>
      <c r="G125" s="19"/>
    </row>
    <row r="126" spans="3:7" ht="12.75" hidden="1">
      <c r="C126" s="24"/>
      <c r="D126" s="33"/>
      <c r="E126" s="33"/>
      <c r="F126" s="31" t="s">
        <v>137</v>
      </c>
      <c r="G126" s="19"/>
    </row>
    <row r="127" spans="3:7" ht="25.5" hidden="1">
      <c r="C127" s="24"/>
      <c r="D127" s="33"/>
      <c r="E127" s="33"/>
      <c r="F127" s="30"/>
      <c r="G127" s="42" t="s">
        <v>59</v>
      </c>
    </row>
    <row r="128" spans="3:7" ht="25.5" hidden="1">
      <c r="C128" s="24"/>
      <c r="D128" s="33"/>
      <c r="E128" s="33"/>
      <c r="F128" s="30"/>
      <c r="G128" s="42" t="s">
        <v>59</v>
      </c>
    </row>
    <row r="129" spans="3:7" ht="25.5" hidden="1">
      <c r="C129" s="24" t="s">
        <v>26</v>
      </c>
      <c r="D129" s="33"/>
      <c r="E129" s="33"/>
      <c r="F129" s="30"/>
      <c r="G129" s="42" t="s">
        <v>59</v>
      </c>
    </row>
    <row r="130" spans="3:7" ht="12.75" hidden="1">
      <c r="C130" s="24"/>
      <c r="D130" s="33"/>
      <c r="E130" s="33"/>
      <c r="F130" s="30"/>
      <c r="G130" s="19"/>
    </row>
    <row r="131" spans="3:7" ht="25.5" hidden="1">
      <c r="C131" s="24"/>
      <c r="D131" s="34" t="s">
        <v>138</v>
      </c>
      <c r="E131" s="34"/>
      <c r="F131" s="30"/>
      <c r="G131" s="19"/>
    </row>
    <row r="132" spans="3:7" ht="25.5" hidden="1">
      <c r="C132" s="24" t="s">
        <v>41</v>
      </c>
      <c r="D132" s="34" t="s">
        <v>139</v>
      </c>
      <c r="E132" s="34"/>
      <c r="F132" s="30"/>
      <c r="G132" s="42" t="s">
        <v>53</v>
      </c>
    </row>
    <row r="133" spans="3:7" ht="25.5" hidden="1">
      <c r="C133" s="24"/>
      <c r="D133" s="33"/>
      <c r="E133" s="33"/>
      <c r="F133" s="31" t="s">
        <v>140</v>
      </c>
      <c r="G133" s="42" t="s">
        <v>53</v>
      </c>
    </row>
    <row r="134" spans="3:7" ht="12.75" hidden="1">
      <c r="C134" s="24"/>
      <c r="D134" s="34" t="s">
        <v>141</v>
      </c>
      <c r="E134" s="34"/>
      <c r="F134" s="30"/>
      <c r="G134" s="19"/>
    </row>
    <row r="135" spans="3:7" ht="12.75" hidden="1">
      <c r="C135" s="24"/>
      <c r="D135" s="36"/>
      <c r="E135" s="36"/>
      <c r="F135" s="31" t="s">
        <v>142</v>
      </c>
      <c r="G135" s="19"/>
    </row>
    <row r="136" spans="3:7" ht="12.75" hidden="1">
      <c r="C136" s="24"/>
      <c r="D136" s="34" t="s">
        <v>143</v>
      </c>
      <c r="E136" s="34"/>
      <c r="F136" s="30"/>
      <c r="G136" s="19"/>
    </row>
    <row r="137" spans="3:7" ht="25.5" hidden="1">
      <c r="C137" s="24" t="s">
        <v>29</v>
      </c>
      <c r="D137" s="36"/>
      <c r="E137" s="36"/>
      <c r="F137" s="30"/>
      <c r="G137" s="42" t="s">
        <v>54</v>
      </c>
    </row>
    <row r="138" spans="3:7" ht="12.75" hidden="1">
      <c r="C138" s="24"/>
      <c r="D138" s="34" t="s">
        <v>83</v>
      </c>
      <c r="E138" s="34"/>
      <c r="F138" s="31" t="s">
        <v>144</v>
      </c>
      <c r="G138" s="42"/>
    </row>
    <row r="139" spans="3:7" ht="12.75" hidden="1">
      <c r="C139" s="24"/>
      <c r="D139" s="36"/>
      <c r="E139" s="36"/>
      <c r="F139" s="30"/>
      <c r="G139" s="42" t="s">
        <v>145</v>
      </c>
    </row>
    <row r="140" spans="3:7" ht="12.75" hidden="1">
      <c r="C140" s="24"/>
      <c r="D140" s="33"/>
      <c r="E140" s="33"/>
      <c r="F140" s="31" t="s">
        <v>146</v>
      </c>
      <c r="G140" s="42"/>
    </row>
    <row r="141" spans="3:7" ht="12.75" hidden="1">
      <c r="C141" s="24"/>
      <c r="D141" s="33"/>
      <c r="E141" s="33"/>
      <c r="F141" s="30"/>
      <c r="G141" s="19"/>
    </row>
    <row r="142" spans="3:7" ht="25.5" hidden="1">
      <c r="C142" s="24"/>
      <c r="D142" s="37"/>
      <c r="E142" s="37"/>
      <c r="F142" s="31" t="s">
        <v>147</v>
      </c>
      <c r="G142" s="42" t="s">
        <v>55</v>
      </c>
    </row>
    <row r="143" spans="3:7" ht="12.75" hidden="1">
      <c r="C143" s="23" t="s">
        <v>42</v>
      </c>
      <c r="D143" s="34" t="s">
        <v>148</v>
      </c>
      <c r="E143" s="34"/>
      <c r="F143" s="30"/>
      <c r="G143" s="19"/>
    </row>
    <row r="144" spans="3:7" ht="27" hidden="1">
      <c r="C144" s="24" t="s">
        <v>27</v>
      </c>
      <c r="D144" s="34" t="s">
        <v>149</v>
      </c>
      <c r="E144" s="34"/>
      <c r="F144" s="30"/>
      <c r="G144" s="29" t="s">
        <v>50</v>
      </c>
    </row>
    <row r="145" spans="3:7" ht="12.75" hidden="1">
      <c r="C145" s="24"/>
      <c r="D145" s="36"/>
      <c r="E145" s="36"/>
      <c r="F145" s="30"/>
      <c r="G145" s="19"/>
    </row>
    <row r="146" spans="3:7" ht="12.75" hidden="1">
      <c r="C146" s="24"/>
      <c r="D146" s="34" t="s">
        <v>150</v>
      </c>
      <c r="E146" s="34"/>
      <c r="F146" s="30"/>
      <c r="G146" s="19"/>
    </row>
    <row r="147" spans="3:7" ht="12.75" hidden="1">
      <c r="C147" s="24"/>
      <c r="D147" s="33"/>
      <c r="E147" s="33"/>
      <c r="F147" s="31" t="s">
        <v>151</v>
      </c>
      <c r="G147" s="19"/>
    </row>
    <row r="148" spans="3:7" ht="12.75" hidden="1">
      <c r="C148" s="24"/>
      <c r="D148" s="33"/>
      <c r="E148" s="33"/>
      <c r="F148" s="31" t="s">
        <v>152</v>
      </c>
      <c r="G148" s="19"/>
    </row>
    <row r="149" spans="3:7" ht="25.5" hidden="1">
      <c r="C149" s="24" t="s">
        <v>26</v>
      </c>
      <c r="D149" s="33"/>
      <c r="E149" s="33"/>
      <c r="F149" s="30"/>
      <c r="G149" s="42" t="s">
        <v>153</v>
      </c>
    </row>
    <row r="150" spans="3:7" ht="38.25" hidden="1">
      <c r="C150" s="24"/>
      <c r="D150" s="33"/>
      <c r="E150" s="33"/>
      <c r="F150" s="31" t="s">
        <v>154</v>
      </c>
      <c r="G150" s="19"/>
    </row>
    <row r="151" spans="3:7" ht="25.5" hidden="1">
      <c r="C151" s="24"/>
      <c r="D151" s="33"/>
      <c r="E151" s="33"/>
      <c r="F151" s="30"/>
      <c r="G151" s="42" t="s">
        <v>53</v>
      </c>
    </row>
    <row r="152" spans="3:7" ht="12.75" hidden="1">
      <c r="C152" s="24"/>
      <c r="D152" s="34" t="s">
        <v>155</v>
      </c>
      <c r="E152" s="34"/>
      <c r="F152" s="30"/>
      <c r="G152" s="19"/>
    </row>
    <row r="153" spans="3:7" ht="12.75" hidden="1">
      <c r="C153" s="24" t="s">
        <v>30</v>
      </c>
      <c r="D153" s="38"/>
      <c r="E153" s="38"/>
      <c r="F153" s="31" t="s">
        <v>156</v>
      </c>
      <c r="G153" s="19"/>
    </row>
    <row r="154" spans="3:7" ht="25.5" hidden="1">
      <c r="C154" s="24"/>
      <c r="D154" s="38"/>
      <c r="E154" s="38"/>
      <c r="F154" s="30"/>
      <c r="G154" s="42" t="s">
        <v>58</v>
      </c>
    </row>
    <row r="155" spans="3:7" ht="12.75" hidden="1">
      <c r="C155" s="25"/>
      <c r="D155" s="38"/>
      <c r="E155" s="38"/>
      <c r="F155" s="30"/>
      <c r="G155" s="19"/>
    </row>
    <row r="156" spans="3:7" ht="12.75" hidden="1">
      <c r="C156" s="23" t="s">
        <v>43</v>
      </c>
      <c r="D156" s="38"/>
      <c r="E156" s="38"/>
      <c r="F156" s="31"/>
      <c r="G156" s="19"/>
    </row>
    <row r="157" spans="3:7" ht="25.5" hidden="1">
      <c r="C157" s="24"/>
      <c r="D157" s="38"/>
      <c r="E157" s="38"/>
      <c r="F157" s="31"/>
      <c r="G157" s="42" t="s">
        <v>55</v>
      </c>
    </row>
    <row r="158" spans="3:7" ht="12.75" hidden="1">
      <c r="C158" s="24" t="s">
        <v>26</v>
      </c>
      <c r="D158" s="38"/>
      <c r="E158" s="38"/>
      <c r="F158" s="31"/>
      <c r="G158" s="19"/>
    </row>
    <row r="159" spans="3:7" ht="25.5" hidden="1">
      <c r="C159" s="24"/>
      <c r="D159" s="38"/>
      <c r="E159" s="38"/>
      <c r="F159" s="31"/>
      <c r="G159" s="42" t="s">
        <v>55</v>
      </c>
    </row>
    <row r="160" spans="3:7" ht="27" hidden="1">
      <c r="C160" s="24"/>
      <c r="D160" s="38"/>
      <c r="E160" s="38"/>
      <c r="F160" s="31"/>
      <c r="G160" s="45" t="s">
        <v>51</v>
      </c>
    </row>
    <row r="161" spans="3:7" ht="12.75" hidden="1">
      <c r="C161" s="24"/>
      <c r="D161" s="38"/>
      <c r="E161" s="38"/>
      <c r="F161" s="31"/>
      <c r="G161" s="19"/>
    </row>
    <row r="162" spans="3:7" ht="12.75" hidden="1">
      <c r="C162" s="24"/>
      <c r="D162" s="38"/>
      <c r="E162" s="38"/>
      <c r="F162" s="31"/>
      <c r="G162" s="19"/>
    </row>
    <row r="163" spans="3:7" ht="12.75" hidden="1">
      <c r="C163" s="24"/>
      <c r="D163" s="38"/>
      <c r="E163" s="38"/>
      <c r="F163" s="31"/>
      <c r="G163" s="19"/>
    </row>
    <row r="164" spans="3:7" ht="25.5" hidden="1">
      <c r="C164" s="24"/>
      <c r="D164" s="38"/>
      <c r="E164" s="38"/>
      <c r="F164" s="31"/>
      <c r="G164" s="42" t="s">
        <v>153</v>
      </c>
    </row>
    <row r="165" spans="3:7" ht="12.75" hidden="1">
      <c r="C165" s="24"/>
      <c r="D165" s="38"/>
      <c r="E165" s="38"/>
      <c r="F165" s="31"/>
      <c r="G165" s="42"/>
    </row>
    <row r="166" spans="3:7" ht="25.5" hidden="1">
      <c r="C166" s="24" t="s">
        <v>27</v>
      </c>
      <c r="D166" s="38"/>
      <c r="E166" s="38"/>
      <c r="F166" s="31"/>
      <c r="G166" s="42" t="s">
        <v>53</v>
      </c>
    </row>
    <row r="167" spans="3:7" ht="12.75" hidden="1">
      <c r="C167" s="24"/>
      <c r="D167" s="38"/>
      <c r="E167" s="38"/>
      <c r="F167" s="31"/>
      <c r="G167" s="19"/>
    </row>
    <row r="168" spans="3:7" ht="25.5" hidden="1">
      <c r="C168" s="24"/>
      <c r="D168" s="38"/>
      <c r="E168" s="38"/>
      <c r="F168" s="31"/>
      <c r="G168" s="42" t="s">
        <v>157</v>
      </c>
    </row>
    <row r="169" spans="3:7" ht="12.75" hidden="1">
      <c r="C169" s="24"/>
      <c r="D169" s="38"/>
      <c r="E169" s="38"/>
      <c r="F169" s="31"/>
      <c r="G169" s="19"/>
    </row>
    <row r="170" spans="3:7" ht="12.75" hidden="1">
      <c r="C170" s="26"/>
      <c r="D170" s="38"/>
      <c r="E170" s="38"/>
      <c r="F170" s="31"/>
      <c r="G170" s="19"/>
    </row>
    <row r="171" spans="3:7" ht="12.75" hidden="1">
      <c r="C171" s="26"/>
      <c r="D171" s="38"/>
      <c r="E171" s="38"/>
      <c r="F171" s="31"/>
      <c r="G171" s="19"/>
    </row>
    <row r="172" spans="3:7" ht="12.75" hidden="1">
      <c r="C172" s="26"/>
      <c r="D172" s="38"/>
      <c r="E172" s="38"/>
      <c r="F172" s="31"/>
      <c r="G172" s="19"/>
    </row>
    <row r="173" spans="3:7" ht="12.75" hidden="1">
      <c r="C173" s="26"/>
      <c r="D173" s="38"/>
      <c r="E173" s="38"/>
      <c r="F173" s="31"/>
      <c r="G173" s="19"/>
    </row>
    <row r="174" spans="3:7" ht="12.75" hidden="1">
      <c r="C174" s="26"/>
      <c r="D174" s="38"/>
      <c r="E174" s="38"/>
      <c r="F174" s="31"/>
      <c r="G174" s="19"/>
    </row>
    <row r="175" spans="3:7" ht="25.5" hidden="1">
      <c r="C175" s="26"/>
      <c r="D175" s="38"/>
      <c r="E175" s="38"/>
      <c r="F175" s="31"/>
      <c r="G175" s="42" t="s">
        <v>57</v>
      </c>
    </row>
    <row r="176" spans="3:7" ht="12.75" hidden="1">
      <c r="C176" s="26"/>
      <c r="D176" s="38"/>
      <c r="E176" s="38"/>
      <c r="F176" s="31"/>
      <c r="G176" s="19"/>
    </row>
    <row r="177" spans="3:7" ht="27.75" hidden="1" thickBot="1">
      <c r="C177" s="27"/>
      <c r="D177" s="39"/>
      <c r="E177" s="39"/>
      <c r="F177" s="32"/>
      <c r="G177" s="46" t="s">
        <v>52</v>
      </c>
    </row>
    <row r="178" ht="12.75" hidden="1"/>
    <row r="179" ht="12.75" hidden="1"/>
    <row r="180" ht="12.75" hidden="1"/>
    <row r="181" ht="12.75">
      <c r="G181" s="159">
        <f>G38-G182</f>
        <v>-1000000</v>
      </c>
    </row>
    <row r="182" ht="12.75">
      <c r="G182" s="41">
        <v>44652162</v>
      </c>
    </row>
  </sheetData>
  <sheetProtection/>
  <mergeCells count="16">
    <mergeCell ref="B36:B37"/>
    <mergeCell ref="C36:C37"/>
    <mergeCell ref="C2:I2"/>
    <mergeCell ref="C3:I3"/>
    <mergeCell ref="C22:C27"/>
    <mergeCell ref="B22:B27"/>
    <mergeCell ref="C28:C30"/>
    <mergeCell ref="B28:B30"/>
    <mergeCell ref="C31:C35"/>
    <mergeCell ref="B31:B35"/>
    <mergeCell ref="C6:C15"/>
    <mergeCell ref="B6:B15"/>
    <mergeCell ref="B16:B18"/>
    <mergeCell ref="C16:C18"/>
    <mergeCell ref="C19:C21"/>
    <mergeCell ref="B19:B2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140625" style="1" customWidth="1"/>
    <col min="2" max="2" width="8.140625" style="1" customWidth="1"/>
    <col min="3" max="3" width="21.421875" style="1" customWidth="1"/>
    <col min="4" max="4" width="51.28125" style="1" customWidth="1"/>
    <col min="5" max="5" width="14.140625" style="1" customWidth="1"/>
    <col min="6" max="6" width="14.421875" style="1" customWidth="1"/>
    <col min="7" max="7" width="14.140625" style="4" customWidth="1"/>
    <col min="8" max="16384" width="9.140625" style="1" customWidth="1"/>
  </cols>
  <sheetData>
    <row r="1" spans="2:7" ht="12.75">
      <c r="B1" s="83"/>
      <c r="C1" s="83"/>
      <c r="D1" s="83"/>
      <c r="E1" s="83"/>
      <c r="F1" s="83"/>
      <c r="G1" s="80"/>
    </row>
    <row r="2" spans="3:9" ht="12.75">
      <c r="C2" s="1202" t="s">
        <v>6</v>
      </c>
      <c r="D2" s="1202"/>
      <c r="E2" s="1202"/>
      <c r="F2" s="1202"/>
      <c r="G2" s="1202"/>
      <c r="H2" s="1202"/>
      <c r="I2" s="1202"/>
    </row>
    <row r="3" spans="3:9" ht="13.5" thickBot="1">
      <c r="C3" s="1203" t="s">
        <v>284</v>
      </c>
      <c r="D3" s="1203"/>
      <c r="E3" s="1203"/>
      <c r="F3" s="1203"/>
      <c r="G3" s="1203"/>
      <c r="H3" s="1203"/>
      <c r="I3" s="1203"/>
    </row>
    <row r="4" spans="2:7" ht="26.25" thickBot="1">
      <c r="B4" s="84" t="s">
        <v>4</v>
      </c>
      <c r="C4" s="7" t="s">
        <v>8</v>
      </c>
      <c r="D4" s="2" t="s">
        <v>23</v>
      </c>
      <c r="E4" s="2" t="s">
        <v>7</v>
      </c>
      <c r="F4" s="7" t="s">
        <v>11</v>
      </c>
      <c r="G4" s="100" t="s">
        <v>5</v>
      </c>
    </row>
    <row r="5" spans="2:7" ht="13.5" thickBot="1">
      <c r="B5" s="1177">
        <v>1</v>
      </c>
      <c r="C5" s="1177" t="s">
        <v>12</v>
      </c>
      <c r="D5" s="5" t="s">
        <v>276</v>
      </c>
      <c r="E5" s="5" t="s">
        <v>287</v>
      </c>
      <c r="F5" s="5" t="s">
        <v>288</v>
      </c>
      <c r="G5" s="108">
        <v>8000000</v>
      </c>
    </row>
    <row r="6" spans="2:7" ht="15" customHeight="1" thickBot="1">
      <c r="B6" s="1178"/>
      <c r="C6" s="1178"/>
      <c r="D6" s="5" t="s">
        <v>277</v>
      </c>
      <c r="E6" s="5" t="s">
        <v>287</v>
      </c>
      <c r="F6" s="5" t="s">
        <v>289</v>
      </c>
      <c r="G6" s="108">
        <v>4000000</v>
      </c>
    </row>
    <row r="7" spans="2:7" ht="30.75" customHeight="1" thickBot="1">
      <c r="B7" s="1178"/>
      <c r="C7" s="1178"/>
      <c r="D7" s="139" t="s">
        <v>285</v>
      </c>
      <c r="E7" s="139" t="s">
        <v>287</v>
      </c>
      <c r="F7" s="139" t="s">
        <v>287</v>
      </c>
      <c r="G7" s="160">
        <f>6000000+6723277</f>
        <v>12723277</v>
      </c>
    </row>
    <row r="8" spans="2:7" ht="13.5" thickBot="1">
      <c r="B8" s="1178"/>
      <c r="C8" s="1178"/>
      <c r="D8" s="11" t="s">
        <v>278</v>
      </c>
      <c r="E8" s="5" t="s">
        <v>287</v>
      </c>
      <c r="F8" s="5" t="s">
        <v>290</v>
      </c>
      <c r="G8" s="108">
        <v>4000000</v>
      </c>
    </row>
    <row r="9" spans="2:7" ht="13.5" thickBot="1">
      <c r="B9" s="1179"/>
      <c r="C9" s="1179"/>
      <c r="D9" s="109" t="s">
        <v>9</v>
      </c>
      <c r="E9" s="5"/>
      <c r="F9" s="5"/>
      <c r="G9" s="110">
        <f>SUM(G5:G8)</f>
        <v>28723277</v>
      </c>
    </row>
    <row r="10" spans="2:7" ht="26.25" thickBot="1">
      <c r="B10" s="1177">
        <v>2</v>
      </c>
      <c r="C10" s="1177" t="s">
        <v>10</v>
      </c>
      <c r="D10" s="5" t="s">
        <v>286</v>
      </c>
      <c r="E10" s="5" t="s">
        <v>287</v>
      </c>
      <c r="F10" s="5" t="s">
        <v>287</v>
      </c>
      <c r="G10" s="108">
        <v>7000000</v>
      </c>
    </row>
    <row r="11" spans="2:7" ht="13.5" thickBot="1">
      <c r="B11" s="1179"/>
      <c r="C11" s="1179"/>
      <c r="D11" s="109" t="s">
        <v>9</v>
      </c>
      <c r="E11" s="5"/>
      <c r="F11" s="5"/>
      <c r="G11" s="110">
        <f>SUM(G10)</f>
        <v>7000000</v>
      </c>
    </row>
    <row r="12" spans="2:7" ht="13.5" thickBot="1">
      <c r="B12" s="1177">
        <v>3</v>
      </c>
      <c r="C12" s="1177" t="s">
        <v>3</v>
      </c>
      <c r="D12" s="5" t="s">
        <v>281</v>
      </c>
      <c r="E12" s="5" t="s">
        <v>287</v>
      </c>
      <c r="F12" s="5" t="s">
        <v>292</v>
      </c>
      <c r="G12" s="108">
        <v>3000000</v>
      </c>
    </row>
    <row r="13" spans="2:7" ht="13.5" thickBot="1">
      <c r="B13" s="1179"/>
      <c r="C13" s="1179"/>
      <c r="D13" s="109" t="s">
        <v>9</v>
      </c>
      <c r="E13" s="5"/>
      <c r="F13" s="5"/>
      <c r="G13" s="110">
        <f>SUM(G12)</f>
        <v>3000000</v>
      </c>
    </row>
    <row r="14" spans="2:7" ht="26.25" thickBot="1">
      <c r="B14" s="1177">
        <v>4</v>
      </c>
      <c r="C14" s="1175" t="s">
        <v>0</v>
      </c>
      <c r="D14" s="5" t="s">
        <v>279</v>
      </c>
      <c r="E14" s="5" t="s">
        <v>287</v>
      </c>
      <c r="F14" s="5" t="s">
        <v>287</v>
      </c>
      <c r="G14" s="108">
        <v>6000000</v>
      </c>
    </row>
    <row r="15" spans="2:7" ht="13.5" thickBot="1">
      <c r="B15" s="1178"/>
      <c r="C15" s="1182"/>
      <c r="D15" s="5" t="s">
        <v>280</v>
      </c>
      <c r="E15" s="5" t="s">
        <v>287</v>
      </c>
      <c r="F15" s="5" t="s">
        <v>291</v>
      </c>
      <c r="G15" s="108">
        <v>5000000</v>
      </c>
    </row>
    <row r="16" spans="2:7" ht="13.5" thickBot="1">
      <c r="B16" s="1179"/>
      <c r="C16" s="1176"/>
      <c r="D16" s="8" t="s">
        <v>9</v>
      </c>
      <c r="E16" s="5"/>
      <c r="F16" s="5"/>
      <c r="G16" s="111">
        <f>SUM(G14:G15)</f>
        <v>11000000</v>
      </c>
    </row>
    <row r="17" spans="2:7" ht="26.25" thickBot="1">
      <c r="B17" s="82">
        <v>5</v>
      </c>
      <c r="C17" s="137" t="s">
        <v>1</v>
      </c>
      <c r="D17" s="5" t="s">
        <v>282</v>
      </c>
      <c r="E17" s="5" t="s">
        <v>287</v>
      </c>
      <c r="F17" s="5" t="s">
        <v>293</v>
      </c>
      <c r="G17" s="112">
        <v>8000000</v>
      </c>
    </row>
    <row r="18" spans="2:7" ht="20.25" customHeight="1" thickBot="1">
      <c r="B18" s="81"/>
      <c r="C18" s="105"/>
      <c r="D18" s="113" t="s">
        <v>9</v>
      </c>
      <c r="E18" s="13"/>
      <c r="G18" s="110">
        <f>SUM(G17)</f>
        <v>8000000</v>
      </c>
    </row>
    <row r="19" spans="2:7" ht="17.25" customHeight="1" thickBot="1">
      <c r="B19" s="1177">
        <v>6</v>
      </c>
      <c r="C19" s="1190" t="s">
        <v>13</v>
      </c>
      <c r="D19" s="5" t="s">
        <v>283</v>
      </c>
      <c r="E19" s="5" t="s">
        <v>287</v>
      </c>
      <c r="F19" s="5" t="s">
        <v>287</v>
      </c>
      <c r="G19" s="108">
        <v>14000000</v>
      </c>
    </row>
    <row r="20" spans="2:7" ht="20.25" customHeight="1" thickBot="1">
      <c r="B20" s="1179"/>
      <c r="C20" s="1191"/>
      <c r="D20" s="8" t="s">
        <v>9</v>
      </c>
      <c r="E20" s="5"/>
      <c r="F20" s="5"/>
      <c r="G20" s="110">
        <f>SUM(G19)</f>
        <v>14000000</v>
      </c>
    </row>
    <row r="21" spans="2:7" ht="13.5" thickBot="1">
      <c r="B21" s="114"/>
      <c r="C21" s="22"/>
      <c r="D21" s="2" t="s">
        <v>2</v>
      </c>
      <c r="E21" s="2"/>
      <c r="F21" s="2"/>
      <c r="G21" s="110">
        <f>SUM(G20,G18,G16,G13,G11,G9)</f>
        <v>71723277</v>
      </c>
    </row>
    <row r="22" spans="2:7" ht="12.75">
      <c r="B22" s="3"/>
      <c r="C22" s="3"/>
      <c r="G22" s="4">
        <f>G21-G23</f>
        <v>-1000000</v>
      </c>
    </row>
    <row r="23" ht="12.75">
      <c r="G23" s="4">
        <v>72723277</v>
      </c>
    </row>
  </sheetData>
  <sheetProtection/>
  <mergeCells count="12">
    <mergeCell ref="C12:C13"/>
    <mergeCell ref="B12:B13"/>
    <mergeCell ref="C10:C11"/>
    <mergeCell ref="B10:B11"/>
    <mergeCell ref="C19:C20"/>
    <mergeCell ref="B19:B20"/>
    <mergeCell ref="C2:I2"/>
    <mergeCell ref="C3:I3"/>
    <mergeCell ref="C5:C9"/>
    <mergeCell ref="B5:B9"/>
    <mergeCell ref="C14:C16"/>
    <mergeCell ref="B14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2017-09-18T06:10:07Z</cp:lastPrinted>
  <dcterms:created xsi:type="dcterms:W3CDTF">2015-02-26T05:30:26Z</dcterms:created>
  <dcterms:modified xsi:type="dcterms:W3CDTF">2024-03-01T11:29:12Z</dcterms:modified>
  <cp:category/>
  <cp:version/>
  <cp:contentType/>
  <cp:contentStatus/>
</cp:coreProperties>
</file>